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 2019\"/>
    </mc:Choice>
  </mc:AlternateContent>
  <xr:revisionPtr revIDLastSave="0" documentId="8_{F5311A00-FA72-4F67-8290-1147DEAA26CB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710" windowHeight="15435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b)'!$A$25</definedName>
    <definedName name="GASTO_E_FIN">'Formato 6 b)'!$A$34</definedName>
    <definedName name="GASTO_E_FIN_01">'Formato 6 b)'!$B$34</definedName>
    <definedName name="GASTO_E_FIN_02">'Formato 6 b)'!$C$34</definedName>
    <definedName name="GASTO_E_FIN_03">'Formato 6 b)'!$D$34</definedName>
    <definedName name="GASTO_E_FIN_04">'Formato 6 b)'!$E$34</definedName>
    <definedName name="GASTO_E_FIN_05">'Formato 6 b)'!$F$34</definedName>
    <definedName name="GASTO_E_FIN_06">'Formato 6 b)'!$G$34</definedName>
    <definedName name="GASTO_E_T1">'Formato 6 b)'!$B$25</definedName>
    <definedName name="GASTO_E_T2">'Formato 6 b)'!$C$25</definedName>
    <definedName name="GASTO_E_T3">'Formato 6 b)'!$D$25</definedName>
    <definedName name="GASTO_E_T4">'Formato 6 b)'!$E$25</definedName>
    <definedName name="GASTO_E_T5">'Formato 6 b)'!$F$25</definedName>
    <definedName name="GASTO_E_T6">'Formato 6 b)'!$G$25</definedName>
    <definedName name="GASTO_NE">'Formato 6 b)'!$A$9</definedName>
    <definedName name="GASTO_NE_FIN">'Formato 6 b)'!$A$24</definedName>
    <definedName name="GASTO_NE_FIN_01">'Formato 6 b)'!$B$24</definedName>
    <definedName name="GASTO_NE_FIN_02">'Formato 6 b)'!$C$24</definedName>
    <definedName name="GASTO_NE_FIN_03">'Formato 6 b)'!$D$24</definedName>
    <definedName name="GASTO_NE_FIN_04">'Formato 6 b)'!$E$24</definedName>
    <definedName name="GASTO_NE_FIN_05">'Formato 6 b)'!$F$24</definedName>
    <definedName name="GASTO_NE_FIN_06">'Formato 6 b)'!$G$24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b)'!$B$35</definedName>
    <definedName name="TOTAL_E_T2">'Formato 6 b)'!$C$35</definedName>
    <definedName name="TOTAL_E_T3">'Formato 6 b)'!$D$35</definedName>
    <definedName name="TOTAL_E_T4">'Formato 6 b)'!$E$35</definedName>
    <definedName name="TOTAL_E_T5">'Formato 6 b)'!$F$35</definedName>
    <definedName name="TOTAL_E_T6">'Formato 6 b)'!$G$35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D9" i="4"/>
  <c r="G18" i="12" l="1"/>
  <c r="G17" i="12"/>
  <c r="G14" i="12"/>
  <c r="C10" i="8"/>
  <c r="G36" i="5"/>
  <c r="G35" i="5" s="1"/>
  <c r="E35" i="5"/>
  <c r="C36" i="5"/>
  <c r="C13" i="4"/>
  <c r="G12" i="5" l="1"/>
  <c r="G34" i="5"/>
  <c r="D39" i="5"/>
  <c r="B15" i="5"/>
  <c r="D15" i="5" s="1"/>
  <c r="G15" i="5" l="1"/>
  <c r="D13" i="4"/>
  <c r="D22" i="7" l="1"/>
  <c r="G22" i="7" s="1"/>
  <c r="D21" i="7"/>
  <c r="G21" i="7" s="1"/>
  <c r="D20" i="7"/>
  <c r="G20" i="7" s="1"/>
  <c r="D19" i="7"/>
  <c r="G19" i="7" s="1"/>
  <c r="D18" i="7"/>
  <c r="G18" i="7" s="1"/>
  <c r="D17" i="7"/>
  <c r="D16" i="7"/>
  <c r="D15" i="7"/>
  <c r="D14" i="7"/>
  <c r="D13" i="7"/>
  <c r="D12" i="7"/>
  <c r="D11" i="7"/>
  <c r="D10" i="7"/>
  <c r="D18" i="12" l="1"/>
  <c r="C18" i="12"/>
  <c r="D17" i="12"/>
  <c r="C17" i="12"/>
  <c r="D14" i="12"/>
  <c r="B14" i="12"/>
  <c r="C19" i="10"/>
  <c r="D19" i="10" s="1"/>
  <c r="E19" i="10" s="1"/>
  <c r="F19" i="10" s="1"/>
  <c r="G19" i="10" s="1"/>
  <c r="C18" i="10"/>
  <c r="D18" i="10" s="1"/>
  <c r="E18" i="10" s="1"/>
  <c r="F18" i="10" s="1"/>
  <c r="G18" i="10" s="1"/>
  <c r="C15" i="10"/>
  <c r="D15" i="10" s="1"/>
  <c r="E15" i="10" s="1"/>
  <c r="F15" i="10" s="1"/>
  <c r="G15" i="10" s="1"/>
  <c r="D31" i="9" l="1"/>
  <c r="D30" i="9"/>
  <c r="D29" i="9"/>
  <c r="D27" i="9"/>
  <c r="D26" i="9"/>
  <c r="D25" i="9"/>
  <c r="D23" i="9"/>
  <c r="D22" i="9"/>
  <c r="D19" i="9"/>
  <c r="D18" i="9"/>
  <c r="D17" i="9"/>
  <c r="D15" i="9"/>
  <c r="D14" i="9"/>
  <c r="D13" i="9"/>
  <c r="D10" i="9"/>
  <c r="D26" i="8"/>
  <c r="D25" i="8"/>
  <c r="D24" i="8"/>
  <c r="D23" i="8"/>
  <c r="D22" i="8"/>
  <c r="D21" i="8"/>
  <c r="D20" i="8"/>
  <c r="D18" i="8"/>
  <c r="D17" i="8"/>
  <c r="D16" i="8"/>
  <c r="D15" i="8"/>
  <c r="D14" i="8"/>
  <c r="D13" i="8"/>
  <c r="D12" i="8"/>
  <c r="D11" i="8"/>
  <c r="D17" i="6"/>
  <c r="D16" i="6"/>
  <c r="D15" i="6"/>
  <c r="D14" i="6"/>
  <c r="D13" i="6"/>
  <c r="D12" i="6"/>
  <c r="D11" i="6"/>
  <c r="C71" i="6"/>
  <c r="C58" i="6"/>
  <c r="C48" i="6"/>
  <c r="C28" i="6"/>
  <c r="C18" i="6"/>
  <c r="D74" i="6"/>
  <c r="D73" i="6"/>
  <c r="D72" i="6"/>
  <c r="D70" i="6"/>
  <c r="D69" i="6"/>
  <c r="D68" i="6"/>
  <c r="D67" i="6"/>
  <c r="D66" i="6"/>
  <c r="D65" i="6"/>
  <c r="D64" i="6"/>
  <c r="D63" i="6"/>
  <c r="D61" i="6"/>
  <c r="D60" i="6"/>
  <c r="D59" i="6"/>
  <c r="D57" i="6"/>
  <c r="D56" i="6"/>
  <c r="D55" i="6"/>
  <c r="D54" i="6"/>
  <c r="D53" i="6"/>
  <c r="D52" i="6"/>
  <c r="D51" i="6"/>
  <c r="D50" i="6"/>
  <c r="D49" i="6"/>
  <c r="D47" i="6"/>
  <c r="D46" i="6"/>
  <c r="D45" i="6"/>
  <c r="D44" i="6"/>
  <c r="D43" i="6"/>
  <c r="D42" i="6"/>
  <c r="D41" i="6"/>
  <c r="D40" i="6"/>
  <c r="D39" i="6"/>
  <c r="D37" i="6"/>
  <c r="D36" i="6"/>
  <c r="D35" i="6"/>
  <c r="D34" i="6"/>
  <c r="D33" i="6"/>
  <c r="D32" i="6"/>
  <c r="D31" i="6"/>
  <c r="D30" i="6"/>
  <c r="D29" i="6"/>
  <c r="D27" i="6"/>
  <c r="D26" i="6"/>
  <c r="D25" i="6"/>
  <c r="D24" i="6"/>
  <c r="D23" i="6"/>
  <c r="D22" i="6"/>
  <c r="D21" i="6"/>
  <c r="D20" i="6"/>
  <c r="D19" i="6"/>
  <c r="D48" i="6" l="1"/>
  <c r="F45" i="5"/>
  <c r="B45" i="5"/>
  <c r="F35" i="5"/>
  <c r="D36" i="5"/>
  <c r="D35" i="5" s="1"/>
  <c r="D34" i="5"/>
  <c r="D14" i="5"/>
  <c r="D13" i="5"/>
  <c r="D12" i="5"/>
  <c r="D11" i="5"/>
  <c r="D10" i="5"/>
  <c r="D9" i="5"/>
  <c r="C35" i="5"/>
  <c r="B16" i="5"/>
  <c r="F23" i="1" l="1"/>
  <c r="C41" i="1"/>
  <c r="B60" i="1"/>
  <c r="B31" i="1"/>
  <c r="B25" i="1"/>
  <c r="B17" i="1"/>
  <c r="G138" i="6" l="1"/>
  <c r="G139" i="6"/>
  <c r="G140" i="6"/>
  <c r="G137" i="6" s="1"/>
  <c r="U129" i="24" s="1"/>
  <c r="G141" i="6"/>
  <c r="G142" i="6"/>
  <c r="G144" i="6"/>
  <c r="G145" i="6"/>
  <c r="U137" i="24" s="1"/>
  <c r="C137" i="6"/>
  <c r="D137" i="6"/>
  <c r="E137" i="6"/>
  <c r="F137" i="6"/>
  <c r="B137" i="6"/>
  <c r="C62" i="6"/>
  <c r="Q55" i="24" s="1"/>
  <c r="D62" i="6"/>
  <c r="R55" i="24" s="1"/>
  <c r="E62" i="6"/>
  <c r="S55" i="24" s="1"/>
  <c r="F62" i="6"/>
  <c r="G63" i="6"/>
  <c r="G64" i="6"/>
  <c r="G65" i="6"/>
  <c r="G66" i="6"/>
  <c r="G67" i="6"/>
  <c r="G69" i="6"/>
  <c r="U62" i="24" s="1"/>
  <c r="G70" i="6"/>
  <c r="U63" i="24" s="1"/>
  <c r="B62" i="6"/>
  <c r="B8" i="10"/>
  <c r="C6" i="23"/>
  <c r="C7" i="23" s="1"/>
  <c r="B9" i="1"/>
  <c r="H25" i="23"/>
  <c r="G25" i="23"/>
  <c r="F25" i="23"/>
  <c r="D5" i="13" s="1"/>
  <c r="E25" i="23"/>
  <c r="D25" i="23"/>
  <c r="G30" i="9"/>
  <c r="G31" i="9"/>
  <c r="G29" i="9"/>
  <c r="G26" i="9"/>
  <c r="U18" i="27" s="1"/>
  <c r="G27" i="9"/>
  <c r="U19" i="27" s="1"/>
  <c r="G25" i="9"/>
  <c r="G23" i="9"/>
  <c r="G22" i="9"/>
  <c r="G19" i="9"/>
  <c r="G18" i="9"/>
  <c r="U11" i="27" s="1"/>
  <c r="G17" i="9"/>
  <c r="G14" i="9"/>
  <c r="G15" i="9"/>
  <c r="U8" i="27" s="1"/>
  <c r="G13" i="9"/>
  <c r="G11" i="9"/>
  <c r="G10" i="9"/>
  <c r="U3" i="27" s="1"/>
  <c r="G73" i="8"/>
  <c r="G74" i="8"/>
  <c r="U66" i="26" s="1"/>
  <c r="G75" i="8"/>
  <c r="G72" i="8"/>
  <c r="G63" i="8"/>
  <c r="G64" i="8"/>
  <c r="G65" i="8"/>
  <c r="G66" i="8"/>
  <c r="G67" i="8"/>
  <c r="U59" i="26" s="1"/>
  <c r="G68" i="8"/>
  <c r="U60" i="26" s="1"/>
  <c r="G69" i="8"/>
  <c r="U61" i="26" s="1"/>
  <c r="G70" i="8"/>
  <c r="U62" i="26" s="1"/>
  <c r="G62" i="8"/>
  <c r="G55" i="8"/>
  <c r="G56" i="8"/>
  <c r="G57" i="8"/>
  <c r="G58" i="8"/>
  <c r="G59" i="8"/>
  <c r="G53" i="8" s="1"/>
  <c r="U45" i="26" s="1"/>
  <c r="G60" i="8"/>
  <c r="U52" i="26" s="1"/>
  <c r="G54" i="8"/>
  <c r="G46" i="8"/>
  <c r="G47" i="8"/>
  <c r="G48" i="8"/>
  <c r="G49" i="8"/>
  <c r="G50" i="8"/>
  <c r="G51" i="8"/>
  <c r="U43" i="26" s="1"/>
  <c r="G52" i="8"/>
  <c r="G45" i="8"/>
  <c r="G39" i="8"/>
  <c r="G40" i="8"/>
  <c r="U33" i="26" s="1"/>
  <c r="G41" i="8"/>
  <c r="G38" i="8"/>
  <c r="G11" i="8"/>
  <c r="U4" i="26" s="1"/>
  <c r="G12" i="8"/>
  <c r="U5" i="26" s="1"/>
  <c r="G13" i="8"/>
  <c r="U6" i="26" s="1"/>
  <c r="G14" i="8"/>
  <c r="U7" i="26" s="1"/>
  <c r="G15" i="8"/>
  <c r="G16" i="8"/>
  <c r="U9" i="26" s="1"/>
  <c r="G17" i="8"/>
  <c r="U10" i="26" s="1"/>
  <c r="G18" i="8"/>
  <c r="G20" i="8"/>
  <c r="U13" i="26" s="1"/>
  <c r="G21" i="8"/>
  <c r="U14" i="26" s="1"/>
  <c r="G22" i="8"/>
  <c r="U15" i="26" s="1"/>
  <c r="G23" i="8"/>
  <c r="G24" i="8"/>
  <c r="G25" i="8"/>
  <c r="G26" i="8"/>
  <c r="U19" i="26" s="1"/>
  <c r="G28" i="8"/>
  <c r="U21" i="26" s="1"/>
  <c r="G29" i="8"/>
  <c r="U22" i="26" s="1"/>
  <c r="G30" i="8"/>
  <c r="U23" i="26" s="1"/>
  <c r="G31" i="8"/>
  <c r="U24" i="26" s="1"/>
  <c r="G32" i="8"/>
  <c r="G33" i="8"/>
  <c r="G34" i="8"/>
  <c r="U27" i="26" s="1"/>
  <c r="G35" i="8"/>
  <c r="G36" i="8"/>
  <c r="G27" i="7"/>
  <c r="G28" i="7"/>
  <c r="G29" i="7"/>
  <c r="G30" i="7"/>
  <c r="G31" i="7"/>
  <c r="G32" i="7"/>
  <c r="G33" i="7"/>
  <c r="G26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P51" i="24" s="1"/>
  <c r="B71" i="6"/>
  <c r="B75" i="6"/>
  <c r="G152" i="6"/>
  <c r="U144" i="24" s="1"/>
  <c r="G153" i="6"/>
  <c r="G154" i="6"/>
  <c r="G155" i="6"/>
  <c r="U147" i="24" s="1"/>
  <c r="G156" i="6"/>
  <c r="U148" i="24" s="1"/>
  <c r="G157" i="6"/>
  <c r="G151" i="6"/>
  <c r="G148" i="6"/>
  <c r="G149" i="6"/>
  <c r="U141" i="24" s="1"/>
  <c r="G147" i="6"/>
  <c r="U139" i="24" s="1"/>
  <c r="G143" i="6"/>
  <c r="G135" i="6"/>
  <c r="U127" i="24" s="1"/>
  <c r="G136" i="6"/>
  <c r="G134" i="6"/>
  <c r="G125" i="6"/>
  <c r="G126" i="6"/>
  <c r="U118" i="24" s="1"/>
  <c r="G127" i="6"/>
  <c r="G128" i="6"/>
  <c r="G129" i="6"/>
  <c r="G130" i="6"/>
  <c r="G131" i="6"/>
  <c r="U123" i="24" s="1"/>
  <c r="G132" i="6"/>
  <c r="U124" i="24" s="1"/>
  <c r="G124" i="6"/>
  <c r="G115" i="6"/>
  <c r="G116" i="6"/>
  <c r="U108" i="24" s="1"/>
  <c r="G117" i="6"/>
  <c r="G118" i="6"/>
  <c r="G119" i="6"/>
  <c r="G120" i="6"/>
  <c r="U112" i="24" s="1"/>
  <c r="G121" i="6"/>
  <c r="U113" i="24" s="1"/>
  <c r="G122" i="6"/>
  <c r="G114" i="6"/>
  <c r="G105" i="6"/>
  <c r="G106" i="6"/>
  <c r="G107" i="6"/>
  <c r="G108" i="6"/>
  <c r="G109" i="6"/>
  <c r="U101" i="24" s="1"/>
  <c r="G110" i="6"/>
  <c r="U102" i="24" s="1"/>
  <c r="G111" i="6"/>
  <c r="G112" i="6"/>
  <c r="U104" i="24" s="1"/>
  <c r="G104" i="6"/>
  <c r="U96" i="24" s="1"/>
  <c r="G95" i="6"/>
  <c r="U87" i="24" s="1"/>
  <c r="G96" i="6"/>
  <c r="G97" i="6"/>
  <c r="G98" i="6"/>
  <c r="U90" i="24" s="1"/>
  <c r="G99" i="6"/>
  <c r="U91" i="24" s="1"/>
  <c r="G100" i="6"/>
  <c r="G101" i="6"/>
  <c r="G102" i="6"/>
  <c r="U94" i="24" s="1"/>
  <c r="G94" i="6"/>
  <c r="U86" i="24" s="1"/>
  <c r="G87" i="6"/>
  <c r="G88" i="6"/>
  <c r="G89" i="6"/>
  <c r="U81" i="24" s="1"/>
  <c r="G90" i="6"/>
  <c r="G91" i="6"/>
  <c r="G92" i="6"/>
  <c r="G86" i="6"/>
  <c r="G77" i="6"/>
  <c r="U70" i="24" s="1"/>
  <c r="G78" i="6"/>
  <c r="G79" i="6"/>
  <c r="G80" i="6"/>
  <c r="U73" i="24" s="1"/>
  <c r="G81" i="6"/>
  <c r="G82" i="6"/>
  <c r="G76" i="6"/>
  <c r="U69" i="24" s="1"/>
  <c r="G73" i="6"/>
  <c r="G74" i="6"/>
  <c r="U67" i="24" s="1"/>
  <c r="G72" i="6"/>
  <c r="U65" i="24" s="1"/>
  <c r="G68" i="6"/>
  <c r="G60" i="6"/>
  <c r="U53" i="24" s="1"/>
  <c r="G61" i="6"/>
  <c r="U54" i="24" s="1"/>
  <c r="G59" i="6"/>
  <c r="U52" i="24" s="1"/>
  <c r="G50" i="6"/>
  <c r="G51" i="6"/>
  <c r="G52" i="6"/>
  <c r="U45" i="24" s="1"/>
  <c r="G53" i="6"/>
  <c r="U46" i="24" s="1"/>
  <c r="G54" i="6"/>
  <c r="U47" i="24" s="1"/>
  <c r="G55" i="6"/>
  <c r="G56" i="6"/>
  <c r="U49" i="24" s="1"/>
  <c r="G57" i="6"/>
  <c r="U50" i="24" s="1"/>
  <c r="G49" i="6"/>
  <c r="G40" i="6"/>
  <c r="U33" i="24" s="1"/>
  <c r="G41" i="6"/>
  <c r="U34" i="24" s="1"/>
  <c r="G42" i="6"/>
  <c r="U35" i="24" s="1"/>
  <c r="G43" i="6"/>
  <c r="U36" i="24" s="1"/>
  <c r="G44" i="6"/>
  <c r="U37" i="24" s="1"/>
  <c r="G45" i="6"/>
  <c r="U38" i="24" s="1"/>
  <c r="G46" i="6"/>
  <c r="U39" i="24" s="1"/>
  <c r="G47" i="6"/>
  <c r="U40" i="24" s="1"/>
  <c r="G39" i="6"/>
  <c r="G30" i="6"/>
  <c r="U23" i="24" s="1"/>
  <c r="G31" i="6"/>
  <c r="G32" i="6"/>
  <c r="G33" i="6"/>
  <c r="U26" i="24" s="1"/>
  <c r="G34" i="6"/>
  <c r="U27" i="24" s="1"/>
  <c r="G35" i="6"/>
  <c r="U28" i="24" s="1"/>
  <c r="G36" i="6"/>
  <c r="G37" i="6"/>
  <c r="G29" i="6"/>
  <c r="G20" i="6"/>
  <c r="G21" i="6"/>
  <c r="U14" i="24" s="1"/>
  <c r="G22" i="6"/>
  <c r="U15" i="24" s="1"/>
  <c r="G23" i="6"/>
  <c r="U16" i="24" s="1"/>
  <c r="G24" i="6"/>
  <c r="U17" i="24" s="1"/>
  <c r="G25" i="6"/>
  <c r="G26" i="6"/>
  <c r="U19" i="24" s="1"/>
  <c r="G27" i="6"/>
  <c r="U20" i="24" s="1"/>
  <c r="G19" i="6"/>
  <c r="G11" i="6"/>
  <c r="U4" i="24" s="1"/>
  <c r="B7" i="13"/>
  <c r="G12" i="6"/>
  <c r="U5" i="24" s="1"/>
  <c r="G13" i="6"/>
  <c r="U6" i="24" s="1"/>
  <c r="G14" i="6"/>
  <c r="U7" i="24" s="1"/>
  <c r="G15" i="6"/>
  <c r="U8" i="24" s="1"/>
  <c r="G16" i="6"/>
  <c r="G17" i="6"/>
  <c r="U10" i="24" s="1"/>
  <c r="G9" i="5"/>
  <c r="G10" i="5"/>
  <c r="G11" i="5"/>
  <c r="U5" i="20" s="1"/>
  <c r="G13" i="5"/>
  <c r="G14" i="5"/>
  <c r="U8" i="20" s="1"/>
  <c r="U9" i="20"/>
  <c r="G17" i="5"/>
  <c r="G18" i="5"/>
  <c r="G19" i="5"/>
  <c r="U13" i="20" s="1"/>
  <c r="G20" i="5"/>
  <c r="G21" i="5"/>
  <c r="G22" i="5"/>
  <c r="G23" i="5"/>
  <c r="G24" i="5"/>
  <c r="U18" i="20" s="1"/>
  <c r="G25" i="5"/>
  <c r="U19" i="20" s="1"/>
  <c r="G26" i="5"/>
  <c r="G27" i="5"/>
  <c r="G29" i="5"/>
  <c r="G30" i="5"/>
  <c r="G31" i="5"/>
  <c r="G32" i="5"/>
  <c r="U26" i="20" s="1"/>
  <c r="G33" i="5"/>
  <c r="U27" i="20" s="1"/>
  <c r="U28" i="20"/>
  <c r="U29" i="20"/>
  <c r="G38" i="5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P4" i="31"/>
  <c r="Q4" i="31"/>
  <c r="R4" i="31"/>
  <c r="S4" i="31"/>
  <c r="T4" i="31"/>
  <c r="P5" i="31"/>
  <c r="Q5" i="31"/>
  <c r="R5" i="31"/>
  <c r="S5" i="31"/>
  <c r="T5" i="31"/>
  <c r="P6" i="31"/>
  <c r="Q6" i="31"/>
  <c r="R6" i="31"/>
  <c r="S6" i="31"/>
  <c r="T6" i="31"/>
  <c r="P7" i="31"/>
  <c r="Q7" i="31"/>
  <c r="R7" i="31"/>
  <c r="S7" i="31"/>
  <c r="T7" i="31"/>
  <c r="P8" i="31"/>
  <c r="Q8" i="31"/>
  <c r="R8" i="31"/>
  <c r="S8" i="31"/>
  <c r="T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B29" i="13" s="1"/>
  <c r="P2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R2" i="31" s="1"/>
  <c r="E7" i="13"/>
  <c r="E29" i="13" s="1"/>
  <c r="S22" i="31" s="1"/>
  <c r="F7" i="13"/>
  <c r="F29" i="13" s="1"/>
  <c r="T22" i="31" s="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C7" i="12"/>
  <c r="Q2" i="30" s="1"/>
  <c r="D7" i="12"/>
  <c r="R2" i="30" s="1"/>
  <c r="E7" i="12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 s="1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Q2" i="29" s="1"/>
  <c r="D8" i="11"/>
  <c r="R2" i="29" s="1"/>
  <c r="E8" i="11"/>
  <c r="E30" i="11" s="1"/>
  <c r="S22" i="29" s="1"/>
  <c r="F8" i="11"/>
  <c r="G8" i="11"/>
  <c r="G30" i="11" s="1"/>
  <c r="U2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G8" i="10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Q9" i="27" s="1"/>
  <c r="D12" i="9"/>
  <c r="D16" i="9"/>
  <c r="R9" i="27" s="1"/>
  <c r="E12" i="9"/>
  <c r="S5" i="27" s="1"/>
  <c r="E16" i="9"/>
  <c r="S9" i="27" s="1"/>
  <c r="F12" i="9"/>
  <c r="T5" i="27" s="1"/>
  <c r="F16" i="9"/>
  <c r="T9" i="27" s="1"/>
  <c r="Q3" i="27"/>
  <c r="R3" i="27"/>
  <c r="S3" i="27"/>
  <c r="T3" i="27"/>
  <c r="Q4" i="27"/>
  <c r="R4" i="27"/>
  <c r="S4" i="27"/>
  <c r="T4" i="27"/>
  <c r="R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U12" i="27"/>
  <c r="C24" i="9"/>
  <c r="Q16" i="27" s="1"/>
  <c r="C28" i="9"/>
  <c r="D24" i="9"/>
  <c r="D28" i="9"/>
  <c r="R20" i="27" s="1"/>
  <c r="E24" i="9"/>
  <c r="E28" i="9"/>
  <c r="S20" i="27" s="1"/>
  <c r="F24" i="9"/>
  <c r="T16" i="27" s="1"/>
  <c r="F28" i="9"/>
  <c r="T20" i="27" s="1"/>
  <c r="G28" i="9"/>
  <c r="U20" i="27" s="1"/>
  <c r="Q14" i="27"/>
  <c r="R14" i="27"/>
  <c r="S14" i="27"/>
  <c r="T14" i="27"/>
  <c r="U14" i="27"/>
  <c r="Q15" i="27"/>
  <c r="R15" i="27"/>
  <c r="S15" i="27"/>
  <c r="T15" i="27"/>
  <c r="R16" i="27"/>
  <c r="S16" i="27"/>
  <c r="Q17" i="27"/>
  <c r="R17" i="27"/>
  <c r="S17" i="27"/>
  <c r="T17" i="27"/>
  <c r="Q18" i="27"/>
  <c r="R18" i="27"/>
  <c r="S18" i="27"/>
  <c r="T18" i="27"/>
  <c r="Q19" i="27"/>
  <c r="R19" i="27"/>
  <c r="S19" i="27"/>
  <c r="T19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9" i="8"/>
  <c r="C27" i="8"/>
  <c r="C9" i="8" s="1"/>
  <c r="C37" i="8"/>
  <c r="D10" i="8"/>
  <c r="D19" i="8"/>
  <c r="R12" i="26" s="1"/>
  <c r="D27" i="8"/>
  <c r="R20" i="26" s="1"/>
  <c r="D37" i="8"/>
  <c r="R30" i="26" s="1"/>
  <c r="E10" i="8"/>
  <c r="S3" i="26" s="1"/>
  <c r="E19" i="8"/>
  <c r="S12" i="26" s="1"/>
  <c r="E27" i="8"/>
  <c r="E37" i="8"/>
  <c r="F10" i="8"/>
  <c r="T3" i="26" s="1"/>
  <c r="F19" i="8"/>
  <c r="T12" i="26" s="1"/>
  <c r="F27" i="8"/>
  <c r="T20" i="26" s="1"/>
  <c r="F37" i="8"/>
  <c r="T30" i="26" s="1"/>
  <c r="Q3" i="26"/>
  <c r="Q4" i="26"/>
  <c r="R4" i="26"/>
  <c r="S4" i="26"/>
  <c r="T4" i="26"/>
  <c r="Q5" i="26"/>
  <c r="R5" i="26"/>
  <c r="S5" i="26"/>
  <c r="T5" i="26"/>
  <c r="Q6" i="26"/>
  <c r="R6" i="26"/>
  <c r="S6" i="26"/>
  <c r="T6" i="26"/>
  <c r="Q7" i="26"/>
  <c r="R7" i="26"/>
  <c r="S7" i="26"/>
  <c r="T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U11" i="26"/>
  <c r="Q12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S20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Q30" i="26"/>
  <c r="S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C53" i="8"/>
  <c r="C61" i="8"/>
  <c r="Q53" i="26" s="1"/>
  <c r="C71" i="8"/>
  <c r="Q63" i="26" s="1"/>
  <c r="D44" i="8"/>
  <c r="R36" i="26" s="1"/>
  <c r="D53" i="8"/>
  <c r="D61" i="8"/>
  <c r="R53" i="26" s="1"/>
  <c r="D71" i="8"/>
  <c r="R63" i="26" s="1"/>
  <c r="E44" i="8"/>
  <c r="S36" i="26" s="1"/>
  <c r="E53" i="8"/>
  <c r="S45" i="26" s="1"/>
  <c r="E61" i="8"/>
  <c r="E71" i="8"/>
  <c r="S63" i="26" s="1"/>
  <c r="F44" i="8"/>
  <c r="F53" i="8"/>
  <c r="T45" i="26" s="1"/>
  <c r="F61" i="8"/>
  <c r="T53" i="26" s="1"/>
  <c r="F71" i="8"/>
  <c r="T63" i="26" s="1"/>
  <c r="Q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R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S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Q60" i="26"/>
  <c r="R60" i="26"/>
  <c r="S60" i="26"/>
  <c r="T60" i="26"/>
  <c r="Q61" i="26"/>
  <c r="R61" i="26"/>
  <c r="S61" i="26"/>
  <c r="T61" i="26"/>
  <c r="Q62" i="26"/>
  <c r="R62" i="26"/>
  <c r="S62" i="26"/>
  <c r="T62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U67" i="26"/>
  <c r="B44" i="8"/>
  <c r="P36" i="26" s="1"/>
  <c r="B53" i="8"/>
  <c r="B61" i="8"/>
  <c r="P53" i="26" s="1"/>
  <c r="B71" i="8"/>
  <c r="P63" i="26" s="1"/>
  <c r="B10" i="8"/>
  <c r="B19" i="8"/>
  <c r="P12" i="26" s="1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25" i="7"/>
  <c r="T3" i="25" s="1"/>
  <c r="E9" i="7"/>
  <c r="E25" i="7"/>
  <c r="S3" i="25" s="1"/>
  <c r="D9" i="7"/>
  <c r="D25" i="7"/>
  <c r="R3" i="25" s="1"/>
  <c r="C9" i="7"/>
  <c r="Q2" i="25" s="1"/>
  <c r="C25" i="7"/>
  <c r="Q3" i="25" s="1"/>
  <c r="B9" i="7"/>
  <c r="P2" i="25" s="1"/>
  <c r="B25" i="7"/>
  <c r="P3" i="25" s="1"/>
  <c r="A3" i="25"/>
  <c r="A4" i="25"/>
  <c r="A2" i="25"/>
  <c r="A87" i="24"/>
  <c r="C85" i="6"/>
  <c r="Q77" i="24" s="1"/>
  <c r="C93" i="6"/>
  <c r="C103" i="6"/>
  <c r="C113" i="6"/>
  <c r="C123" i="6"/>
  <c r="C133" i="6"/>
  <c r="Q125" i="24" s="1"/>
  <c r="C146" i="6"/>
  <c r="Q138" i="24" s="1"/>
  <c r="C150" i="6"/>
  <c r="Q142" i="24" s="1"/>
  <c r="D85" i="6"/>
  <c r="D93" i="6"/>
  <c r="D103" i="6"/>
  <c r="R95" i="24" s="1"/>
  <c r="D113" i="6"/>
  <c r="R105" i="24" s="1"/>
  <c r="D123" i="6"/>
  <c r="R115" i="24" s="1"/>
  <c r="D133" i="6"/>
  <c r="R125" i="24" s="1"/>
  <c r="D146" i="6"/>
  <c r="R138" i="24" s="1"/>
  <c r="D150" i="6"/>
  <c r="R142" i="24" s="1"/>
  <c r="E85" i="6"/>
  <c r="S77" i="24" s="1"/>
  <c r="E93" i="6"/>
  <c r="S85" i="24" s="1"/>
  <c r="E103" i="6"/>
  <c r="S95" i="24" s="1"/>
  <c r="E113" i="6"/>
  <c r="E123" i="6"/>
  <c r="S115" i="24" s="1"/>
  <c r="E133" i="6"/>
  <c r="S125" i="24" s="1"/>
  <c r="E146" i="6"/>
  <c r="S138" i="24" s="1"/>
  <c r="E150" i="6"/>
  <c r="S142" i="24" s="1"/>
  <c r="F85" i="6"/>
  <c r="T77" i="24" s="1"/>
  <c r="F93" i="6"/>
  <c r="F103" i="6"/>
  <c r="T95" i="24" s="1"/>
  <c r="F113" i="6"/>
  <c r="F123" i="6"/>
  <c r="F133" i="6"/>
  <c r="T125" i="24" s="1"/>
  <c r="F146" i="6"/>
  <c r="T138" i="24" s="1"/>
  <c r="F150" i="6"/>
  <c r="T142" i="24" s="1"/>
  <c r="R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Q82" i="24"/>
  <c r="R82" i="24"/>
  <c r="S82" i="24"/>
  <c r="T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T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Q95" i="24"/>
  <c r="Q96" i="24"/>
  <c r="R96" i="24"/>
  <c r="S96" i="24"/>
  <c r="T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Q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Q113" i="24"/>
  <c r="R113" i="24"/>
  <c r="S113" i="24"/>
  <c r="T113" i="24"/>
  <c r="Q114" i="24"/>
  <c r="R114" i="24"/>
  <c r="S114" i="24"/>
  <c r="T114" i="24"/>
  <c r="U114" i="24"/>
  <c r="Q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Q124" i="24"/>
  <c r="R124" i="24"/>
  <c r="S124" i="24"/>
  <c r="T124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Q143" i="24"/>
  <c r="R143" i="24"/>
  <c r="S143" i="24"/>
  <c r="T143" i="24"/>
  <c r="U143" i="24"/>
  <c r="Q144" i="24"/>
  <c r="R144" i="24"/>
  <c r="S144" i="24"/>
  <c r="T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Q148" i="24"/>
  <c r="R148" i="24"/>
  <c r="S148" i="24"/>
  <c r="T148" i="24"/>
  <c r="Q149" i="24"/>
  <c r="R149" i="24"/>
  <c r="S149" i="24"/>
  <c r="T149" i="24"/>
  <c r="U149" i="24"/>
  <c r="C10" i="6"/>
  <c r="C38" i="6"/>
  <c r="C75" i="6"/>
  <c r="D10" i="6"/>
  <c r="D18" i="6"/>
  <c r="D28" i="6"/>
  <c r="R21" i="24" s="1"/>
  <c r="D38" i="6"/>
  <c r="R31" i="24" s="1"/>
  <c r="R41" i="24"/>
  <c r="D58" i="6"/>
  <c r="D71" i="6"/>
  <c r="R64" i="24" s="1"/>
  <c r="D75" i="6"/>
  <c r="E10" i="6"/>
  <c r="S3" i="24" s="1"/>
  <c r="E18" i="6"/>
  <c r="S11" i="24" s="1"/>
  <c r="E28" i="6"/>
  <c r="E38" i="6"/>
  <c r="S31" i="24" s="1"/>
  <c r="E48" i="6"/>
  <c r="S41" i="24" s="1"/>
  <c r="E58" i="6"/>
  <c r="S51" i="24" s="1"/>
  <c r="E71" i="6"/>
  <c r="S64" i="24" s="1"/>
  <c r="E75" i="6"/>
  <c r="S68" i="24" s="1"/>
  <c r="F10" i="6"/>
  <c r="F18" i="6"/>
  <c r="F28" i="6"/>
  <c r="G10" i="13" s="1"/>
  <c r="U5" i="31" s="1"/>
  <c r="F38" i="6"/>
  <c r="F48" i="6"/>
  <c r="F58" i="6"/>
  <c r="F71" i="6"/>
  <c r="T64" i="24" s="1"/>
  <c r="F75" i="6"/>
  <c r="B85" i="6"/>
  <c r="P77" i="24" s="1"/>
  <c r="B93" i="6"/>
  <c r="P85" i="24" s="1"/>
  <c r="B103" i="6"/>
  <c r="P95" i="24" s="1"/>
  <c r="B113" i="6"/>
  <c r="P105" i="24" s="1"/>
  <c r="B123" i="6"/>
  <c r="P115" i="24" s="1"/>
  <c r="B133" i="6"/>
  <c r="B146" i="6"/>
  <c r="P138" i="24" s="1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Q5" i="24"/>
  <c r="R5" i="24"/>
  <c r="S5" i="24"/>
  <c r="T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Q11" i="24"/>
  <c r="R11" i="24"/>
  <c r="Q12" i="24"/>
  <c r="R12" i="24"/>
  <c r="S12" i="24"/>
  <c r="T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Q20" i="24"/>
  <c r="R20" i="24"/>
  <c r="S20" i="24"/>
  <c r="T20" i="24"/>
  <c r="Q21" i="24"/>
  <c r="S21" i="24"/>
  <c r="T21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Q28" i="24"/>
  <c r="R28" i="24"/>
  <c r="S28" i="24"/>
  <c r="T28" i="24"/>
  <c r="Q29" i="24"/>
  <c r="R29" i="24"/>
  <c r="S29" i="24"/>
  <c r="T29" i="24"/>
  <c r="U29" i="24"/>
  <c r="Q30" i="24"/>
  <c r="R30" i="24"/>
  <c r="S30" i="24"/>
  <c r="T30" i="24"/>
  <c r="U30" i="24"/>
  <c r="Q31" i="24"/>
  <c r="Q32" i="24"/>
  <c r="R32" i="24"/>
  <c r="S32" i="24"/>
  <c r="T32" i="24"/>
  <c r="U32" i="24"/>
  <c r="Q33" i="24"/>
  <c r="R33" i="24"/>
  <c r="S33" i="24"/>
  <c r="T33" i="24"/>
  <c r="Q34" i="24"/>
  <c r="R34" i="24"/>
  <c r="S34" i="24"/>
  <c r="T34" i="24"/>
  <c r="Q35" i="24"/>
  <c r="R35" i="24"/>
  <c r="S35" i="24"/>
  <c r="T35" i="24"/>
  <c r="Q36" i="24"/>
  <c r="R36" i="24"/>
  <c r="S36" i="24"/>
  <c r="T36" i="24"/>
  <c r="Q37" i="24"/>
  <c r="R37" i="24"/>
  <c r="S37" i="24"/>
  <c r="T37" i="24"/>
  <c r="Q38" i="24"/>
  <c r="R38" i="24"/>
  <c r="S38" i="24"/>
  <c r="T38" i="24"/>
  <c r="Q39" i="24"/>
  <c r="R39" i="24"/>
  <c r="S39" i="24"/>
  <c r="T39" i="24"/>
  <c r="Q40" i="24"/>
  <c r="R40" i="24"/>
  <c r="S40" i="24"/>
  <c r="T40" i="24"/>
  <c r="Q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Q46" i="24"/>
  <c r="R46" i="24"/>
  <c r="S46" i="24"/>
  <c r="T46" i="24"/>
  <c r="Q47" i="24"/>
  <c r="R47" i="24"/>
  <c r="S47" i="24"/>
  <c r="T47" i="24"/>
  <c r="Q48" i="24"/>
  <c r="R48" i="24"/>
  <c r="S48" i="24"/>
  <c r="T48" i="24"/>
  <c r="Q49" i="24"/>
  <c r="R49" i="24"/>
  <c r="S49" i="24"/>
  <c r="T49" i="24"/>
  <c r="Q50" i="24"/>
  <c r="R50" i="24"/>
  <c r="S50" i="24"/>
  <c r="T50" i="24"/>
  <c r="Q51" i="24"/>
  <c r="R51" i="24"/>
  <c r="Q52" i="24"/>
  <c r="R52" i="24"/>
  <c r="S52" i="24"/>
  <c r="T52" i="24"/>
  <c r="Q53" i="24"/>
  <c r="R53" i="24"/>
  <c r="S53" i="24"/>
  <c r="T53" i="24"/>
  <c r="Q54" i="24"/>
  <c r="R54" i="24"/>
  <c r="S54" i="24"/>
  <c r="T54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Q63" i="24"/>
  <c r="R63" i="24"/>
  <c r="S63" i="24"/>
  <c r="T63" i="24"/>
  <c r="Q64" i="24"/>
  <c r="Q65" i="24"/>
  <c r="R65" i="24"/>
  <c r="S65" i="24"/>
  <c r="T65" i="24"/>
  <c r="Q66" i="24"/>
  <c r="R66" i="24"/>
  <c r="S66" i="24"/>
  <c r="T66" i="24"/>
  <c r="U66" i="24"/>
  <c r="Q67" i="24"/>
  <c r="R67" i="24"/>
  <c r="S67" i="24"/>
  <c r="T67" i="24"/>
  <c r="Q68" i="24"/>
  <c r="R68" i="24"/>
  <c r="T68" i="24"/>
  <c r="Q69" i="24"/>
  <c r="R69" i="24"/>
  <c r="S69" i="24"/>
  <c r="T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Q74" i="24"/>
  <c r="R74" i="24"/>
  <c r="S74" i="24"/>
  <c r="T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6" i="20"/>
  <c r="U7" i="20"/>
  <c r="U12" i="20"/>
  <c r="U14" i="20"/>
  <c r="U15" i="20"/>
  <c r="U16" i="20"/>
  <c r="U17" i="20"/>
  <c r="U20" i="20"/>
  <c r="U21" i="20"/>
  <c r="U23" i="20"/>
  <c r="U24" i="20"/>
  <c r="U25" i="20"/>
  <c r="U30" i="20"/>
  <c r="U32" i="20"/>
  <c r="U33" i="20"/>
  <c r="G46" i="5"/>
  <c r="U38" i="20" s="1"/>
  <c r="G47" i="5"/>
  <c r="G48" i="5"/>
  <c r="U40" i="20" s="1"/>
  <c r="G49" i="5"/>
  <c r="U41" i="20" s="1"/>
  <c r="G50" i="5"/>
  <c r="U42" i="20" s="1"/>
  <c r="G51" i="5"/>
  <c r="U43" i="20" s="1"/>
  <c r="G52" i="5"/>
  <c r="U44" i="20" s="1"/>
  <c r="G53" i="5"/>
  <c r="U45" i="20" s="1"/>
  <c r="U39" i="20"/>
  <c r="G55" i="5"/>
  <c r="U47" i="20" s="1"/>
  <c r="G56" i="5"/>
  <c r="U48" i="20" s="1"/>
  <c r="G57" i="5"/>
  <c r="U49" i="20" s="1"/>
  <c r="G58" i="5"/>
  <c r="U50" i="20" s="1"/>
  <c r="G60" i="5"/>
  <c r="G61" i="5"/>
  <c r="U53" i="20" s="1"/>
  <c r="G62" i="5"/>
  <c r="U54" i="20" s="1"/>
  <c r="G63" i="5"/>
  <c r="U55" i="20" s="1"/>
  <c r="G68" i="5"/>
  <c r="U58" i="20" s="1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P37" i="20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28" i="5"/>
  <c r="B35" i="5"/>
  <c r="P29" i="20" s="1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E6" i="1" s="1"/>
  <c r="F18" i="23"/>
  <c r="K6" i="3" s="1"/>
  <c r="E18" i="23"/>
  <c r="J6" i="3" s="1"/>
  <c r="D18" i="23"/>
  <c r="I6" i="3" s="1"/>
  <c r="F6" i="1"/>
  <c r="B6" i="1"/>
  <c r="F5" i="13"/>
  <c r="E5" i="13"/>
  <c r="C5" i="13"/>
  <c r="B5" i="13"/>
  <c r="E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0" s="1"/>
  <c r="E23" i="23"/>
  <c r="C6" i="11" s="1"/>
  <c r="G5" i="13"/>
  <c r="G5" i="12"/>
  <c r="C11" i="23"/>
  <c r="A2" i="12" s="1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V4" i="17" s="1"/>
  <c r="G14" i="3"/>
  <c r="U4" i="17" s="1"/>
  <c r="E14" i="3"/>
  <c r="S4" i="17" s="1"/>
  <c r="K9" i="3"/>
  <c r="K10" i="3"/>
  <c r="K11" i="3"/>
  <c r="K12" i="3"/>
  <c r="J8" i="3"/>
  <c r="X3" i="17" s="1"/>
  <c r="H8" i="3"/>
  <c r="G8" i="3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P36" i="18" s="1"/>
  <c r="B64" i="4"/>
  <c r="P33" i="18" s="1"/>
  <c r="B63" i="4"/>
  <c r="B55" i="4"/>
  <c r="B53" i="4"/>
  <c r="B49" i="4"/>
  <c r="P27" i="18" s="1"/>
  <c r="B48" i="4"/>
  <c r="P26" i="18" s="1"/>
  <c r="B37" i="4"/>
  <c r="P19" i="18" s="1"/>
  <c r="B29" i="4"/>
  <c r="P15" i="18" s="1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32" i="18"/>
  <c r="P30" i="18"/>
  <c r="P28" i="18"/>
  <c r="P29" i="18"/>
  <c r="P20" i="18"/>
  <c r="P21" i="18"/>
  <c r="P23" i="18"/>
  <c r="P24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7" i="1"/>
  <c r="Q76" i="15" s="1"/>
  <c r="F31" i="1"/>
  <c r="Q80" i="15" s="1"/>
  <c r="F38" i="1"/>
  <c r="Q87" i="15" s="1"/>
  <c r="F42" i="1"/>
  <c r="Q91" i="15" s="1"/>
  <c r="F63" i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P57" i="15" s="1"/>
  <c r="E19" i="1"/>
  <c r="P67" i="15" s="1"/>
  <c r="E23" i="1"/>
  <c r="P71" i="15" s="1"/>
  <c r="E27" i="1"/>
  <c r="P76" i="15" s="1"/>
  <c r="E31" i="1"/>
  <c r="P80" i="15" s="1"/>
  <c r="E38" i="1"/>
  <c r="E42" i="1"/>
  <c r="E57" i="1"/>
  <c r="P103" i="15" s="1"/>
  <c r="E63" i="1"/>
  <c r="P106" i="15" s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Q4" i="15" s="1"/>
  <c r="C17" i="1"/>
  <c r="Q12" i="15" s="1"/>
  <c r="C25" i="1"/>
  <c r="Q20" i="15" s="1"/>
  <c r="C31" i="1"/>
  <c r="Q26" i="15" s="1"/>
  <c r="C38" i="1"/>
  <c r="Q34" i="15" s="1"/>
  <c r="C60" i="1"/>
  <c r="Q53" i="15" s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4" i="4"/>
  <c r="Q33" i="18" s="1"/>
  <c r="D64" i="4"/>
  <c r="R33" i="18" s="1"/>
  <c r="C63" i="4"/>
  <c r="Q32" i="18" s="1"/>
  <c r="D63" i="4"/>
  <c r="R32" i="18" s="1"/>
  <c r="C48" i="4"/>
  <c r="Q26" i="18" s="1"/>
  <c r="C55" i="4"/>
  <c r="Q31" i="18" s="1"/>
  <c r="D55" i="4"/>
  <c r="R31" i="18" s="1"/>
  <c r="D48" i="4"/>
  <c r="R26" i="18" s="1"/>
  <c r="C49" i="4"/>
  <c r="Q27" i="18" s="1"/>
  <c r="D49" i="4"/>
  <c r="C29" i="4"/>
  <c r="Q15" i="18" s="1"/>
  <c r="D29" i="4"/>
  <c r="R15" i="18" s="1"/>
  <c r="C40" i="4"/>
  <c r="Q22" i="18" s="1"/>
  <c r="D40" i="4"/>
  <c r="R22" i="18" s="1"/>
  <c r="C37" i="4"/>
  <c r="Q19" i="18" s="1"/>
  <c r="D37" i="4"/>
  <c r="C17" i="4"/>
  <c r="Q9" i="18" s="1"/>
  <c r="Q6" i="18"/>
  <c r="R6" i="18"/>
  <c r="C13" i="2"/>
  <c r="D13" i="2"/>
  <c r="E13" i="2"/>
  <c r="S8" i="16" s="1"/>
  <c r="F13" i="2"/>
  <c r="T8" i="16" s="1"/>
  <c r="G13" i="2"/>
  <c r="U8" i="16" s="1"/>
  <c r="H13" i="2"/>
  <c r="V8" i="16"/>
  <c r="B13" i="2"/>
  <c r="P8" i="16" s="1"/>
  <c r="C9" i="2"/>
  <c r="Q4" i="16" s="1"/>
  <c r="D9" i="2"/>
  <c r="R4" i="16" s="1"/>
  <c r="E9" i="2"/>
  <c r="S4" i="16" s="1"/>
  <c r="F9" i="2"/>
  <c r="T4" i="16"/>
  <c r="G9" i="2"/>
  <c r="U4" i="16" s="1"/>
  <c r="H9" i="2"/>
  <c r="V4" i="16" s="1"/>
  <c r="B9" i="2"/>
  <c r="B8" i="2" s="1"/>
  <c r="P4" i="15"/>
  <c r="Q30" i="18"/>
  <c r="R36" i="18"/>
  <c r="Q36" i="18"/>
  <c r="R19" i="18"/>
  <c r="R30" i="18"/>
  <c r="U3" i="17"/>
  <c r="D5" i="12" l="1"/>
  <c r="Q20" i="26"/>
  <c r="D9" i="9"/>
  <c r="S2" i="29"/>
  <c r="G20" i="3"/>
  <c r="U5" i="17" s="1"/>
  <c r="C6" i="10"/>
  <c r="G12" i="9"/>
  <c r="U5" i="27" s="1"/>
  <c r="H20" i="3"/>
  <c r="V5" i="17" s="1"/>
  <c r="D8" i="2"/>
  <c r="B44" i="4"/>
  <c r="B11" i="4" s="1"/>
  <c r="B8" i="4" s="1"/>
  <c r="K14" i="3"/>
  <c r="Y4" i="17" s="1"/>
  <c r="C84" i="6"/>
  <c r="Q76" i="24" s="1"/>
  <c r="G37" i="8"/>
  <c r="U30" i="26" s="1"/>
  <c r="C21" i="9"/>
  <c r="Q13" i="27" s="1"/>
  <c r="G123" i="6"/>
  <c r="U115" i="24" s="1"/>
  <c r="G6" i="10"/>
  <c r="C65" i="5"/>
  <c r="Q56" i="20" s="1"/>
  <c r="C43" i="8"/>
  <c r="Q35" i="26" s="1"/>
  <c r="T2" i="31"/>
  <c r="G75" i="6"/>
  <c r="G85" i="6"/>
  <c r="U77" i="24" s="1"/>
  <c r="G133" i="6"/>
  <c r="U125" i="24" s="1"/>
  <c r="H8" i="2"/>
  <c r="H20" i="2" s="1"/>
  <c r="V13" i="16" s="1"/>
  <c r="F8" i="2"/>
  <c r="F20" i="2" s="1"/>
  <c r="T13" i="16" s="1"/>
  <c r="G67" i="5"/>
  <c r="U57" i="20" s="1"/>
  <c r="T51" i="24"/>
  <c r="G13" i="13"/>
  <c r="U8" i="31" s="1"/>
  <c r="C9" i="6"/>
  <c r="C159" i="6" s="1"/>
  <c r="G146" i="6"/>
  <c r="U138" i="24" s="1"/>
  <c r="G61" i="8"/>
  <c r="U53" i="26" s="1"/>
  <c r="E43" i="8"/>
  <c r="S35" i="26" s="1"/>
  <c r="S2" i="31"/>
  <c r="T3" i="24"/>
  <c r="G8" i="13"/>
  <c r="U3" i="31" s="1"/>
  <c r="E65" i="5"/>
  <c r="S56" i="20" s="1"/>
  <c r="E41" i="5"/>
  <c r="T41" i="24"/>
  <c r="G12" i="13"/>
  <c r="U7" i="31" s="1"/>
  <c r="G93" i="6"/>
  <c r="U85" i="24" s="1"/>
  <c r="D43" i="8"/>
  <c r="R35" i="26" s="1"/>
  <c r="G16" i="9"/>
  <c r="U9" i="27" s="1"/>
  <c r="C9" i="9"/>
  <c r="Q2" i="27" s="1"/>
  <c r="D30" i="11"/>
  <c r="R22" i="29" s="1"/>
  <c r="G103" i="6"/>
  <c r="U95" i="24" s="1"/>
  <c r="G113" i="6"/>
  <c r="U105" i="24" s="1"/>
  <c r="G150" i="6"/>
  <c r="U142" i="24" s="1"/>
  <c r="G25" i="7"/>
  <c r="U3" i="25" s="1"/>
  <c r="G71" i="8"/>
  <c r="U63" i="26" s="1"/>
  <c r="P4" i="16"/>
  <c r="R8" i="16"/>
  <c r="B41" i="5"/>
  <c r="B47" i="1"/>
  <c r="P42" i="15" s="1"/>
  <c r="T11" i="24"/>
  <c r="G9" i="13"/>
  <c r="U4" i="31" s="1"/>
  <c r="P12" i="31"/>
  <c r="G44" i="8"/>
  <c r="C8" i="2"/>
  <c r="C20" i="2" s="1"/>
  <c r="Q13" i="16" s="1"/>
  <c r="E6" i="10"/>
  <c r="D65" i="5"/>
  <c r="R56" i="20" s="1"/>
  <c r="C41" i="5"/>
  <c r="Q34" i="20" s="1"/>
  <c r="D41" i="5"/>
  <c r="G54" i="5"/>
  <c r="U46" i="20" s="1"/>
  <c r="F30" i="11"/>
  <c r="T22" i="29" s="1"/>
  <c r="B31" i="12"/>
  <c r="P23" i="30" s="1"/>
  <c r="D31" i="12"/>
  <c r="R23" i="30" s="1"/>
  <c r="C29" i="13"/>
  <c r="Q22" i="31" s="1"/>
  <c r="T31" i="24"/>
  <c r="G11" i="13"/>
  <c r="E9" i="8"/>
  <c r="G9" i="7"/>
  <c r="U2" i="25" s="1"/>
  <c r="G28" i="6"/>
  <c r="U21" i="24" s="1"/>
  <c r="R3" i="24"/>
  <c r="D9" i="6"/>
  <c r="R2" i="24" s="1"/>
  <c r="T14" i="16"/>
  <c r="A2" i="10"/>
  <c r="A2" i="13"/>
  <c r="A2" i="3"/>
  <c r="A2" i="2"/>
  <c r="A2" i="9"/>
  <c r="A2" i="1"/>
  <c r="A2" i="6"/>
  <c r="A2" i="8"/>
  <c r="A2" i="7"/>
  <c r="A2" i="5"/>
  <c r="A2" i="4"/>
  <c r="A2" i="11"/>
  <c r="F41" i="5"/>
  <c r="T34" i="20" s="1"/>
  <c r="Q31" i="20"/>
  <c r="G18" i="6"/>
  <c r="U11" i="24" s="1"/>
  <c r="R9" i="18"/>
  <c r="D72" i="4"/>
  <c r="B35" i="7"/>
  <c r="P4" i="25" s="1"/>
  <c r="E35" i="7"/>
  <c r="S4" i="25" s="1"/>
  <c r="D35" i="7"/>
  <c r="R4" i="25" s="1"/>
  <c r="R2" i="25"/>
  <c r="C35" i="7"/>
  <c r="Q4" i="25" s="1"/>
  <c r="J20" i="3"/>
  <c r="X5" i="17" s="1"/>
  <c r="Q2" i="31"/>
  <c r="D29" i="13"/>
  <c r="R22" i="31" s="1"/>
  <c r="E31" i="12"/>
  <c r="S23" i="30" s="1"/>
  <c r="G31" i="12"/>
  <c r="U23" i="30" s="1"/>
  <c r="F31" i="12"/>
  <c r="T23" i="30" s="1"/>
  <c r="P2" i="30"/>
  <c r="U2" i="30"/>
  <c r="C31" i="12"/>
  <c r="Q23" i="30" s="1"/>
  <c r="S2" i="30"/>
  <c r="B30" i="11"/>
  <c r="P22" i="29" s="1"/>
  <c r="T2" i="29"/>
  <c r="P2" i="29"/>
  <c r="U2" i="29"/>
  <c r="C30" i="11"/>
  <c r="Q22" i="29" s="1"/>
  <c r="E32" i="10"/>
  <c r="S23" i="28" s="1"/>
  <c r="C32" i="10"/>
  <c r="Q23" i="28" s="1"/>
  <c r="G32" i="10"/>
  <c r="U23" i="28" s="1"/>
  <c r="F32" i="10"/>
  <c r="T23" i="28" s="1"/>
  <c r="B32" i="10"/>
  <c r="P23" i="28" s="1"/>
  <c r="U2" i="28"/>
  <c r="D32" i="10"/>
  <c r="R23" i="28" s="1"/>
  <c r="T2" i="28"/>
  <c r="F9" i="9"/>
  <c r="T2" i="27" s="1"/>
  <c r="E9" i="9"/>
  <c r="S2" i="27" s="1"/>
  <c r="F21" i="9"/>
  <c r="T13" i="27" s="1"/>
  <c r="E21" i="9"/>
  <c r="S13" i="27" s="1"/>
  <c r="G24" i="9"/>
  <c r="U16" i="27" s="1"/>
  <c r="Q20" i="27"/>
  <c r="B21" i="9"/>
  <c r="P13" i="27" s="1"/>
  <c r="P16" i="27"/>
  <c r="B9" i="9"/>
  <c r="P2" i="27" s="1"/>
  <c r="D21" i="9"/>
  <c r="R13" i="27" s="1"/>
  <c r="U17" i="27"/>
  <c r="U15" i="27"/>
  <c r="U6" i="27"/>
  <c r="G9" i="9"/>
  <c r="U2" i="27" s="1"/>
  <c r="U4" i="27"/>
  <c r="R2" i="27"/>
  <c r="C33" i="9"/>
  <c r="Q24" i="27" s="1"/>
  <c r="F43" i="8"/>
  <c r="T35" i="26" s="1"/>
  <c r="B43" i="8"/>
  <c r="P35" i="26" s="1"/>
  <c r="Q45" i="26"/>
  <c r="U51" i="26"/>
  <c r="P45" i="26"/>
  <c r="G43" i="8"/>
  <c r="U35" i="26" s="1"/>
  <c r="U36" i="26"/>
  <c r="C77" i="8"/>
  <c r="Q68" i="26" s="1"/>
  <c r="F9" i="8"/>
  <c r="G27" i="8"/>
  <c r="U20" i="26" s="1"/>
  <c r="B9" i="8"/>
  <c r="Q2" i="26"/>
  <c r="G19" i="8"/>
  <c r="U12" i="26" s="1"/>
  <c r="D9" i="8"/>
  <c r="R2" i="26" s="1"/>
  <c r="R3" i="26"/>
  <c r="G10" i="8"/>
  <c r="P3" i="26"/>
  <c r="U22" i="24"/>
  <c r="U12" i="24"/>
  <c r="F9" i="6"/>
  <c r="T2" i="24" s="1"/>
  <c r="E9" i="6"/>
  <c r="S2" i="24" s="1"/>
  <c r="Q3" i="24"/>
  <c r="G10" i="6"/>
  <c r="U3" i="24" s="1"/>
  <c r="G71" i="6"/>
  <c r="U64" i="24" s="1"/>
  <c r="G62" i="6"/>
  <c r="U55" i="24" s="1"/>
  <c r="G48" i="6"/>
  <c r="U41" i="24" s="1"/>
  <c r="U58" i="24"/>
  <c r="G58" i="6"/>
  <c r="U51" i="24" s="1"/>
  <c r="U48" i="24"/>
  <c r="G38" i="6"/>
  <c r="U31" i="24" s="1"/>
  <c r="U74" i="24"/>
  <c r="U68" i="24"/>
  <c r="D84" i="6"/>
  <c r="R76" i="24" s="1"/>
  <c r="F84" i="6"/>
  <c r="T76" i="24" s="1"/>
  <c r="E84" i="6"/>
  <c r="S76" i="24" s="1"/>
  <c r="U119" i="24"/>
  <c r="U111" i="24"/>
  <c r="U100" i="24"/>
  <c r="B84" i="6"/>
  <c r="P76" i="24" s="1"/>
  <c r="U82" i="24"/>
  <c r="Q150" i="24"/>
  <c r="B9" i="6"/>
  <c r="G75" i="5"/>
  <c r="U62" i="20" s="1"/>
  <c r="F65" i="5"/>
  <c r="T56" i="20" s="1"/>
  <c r="S51" i="20"/>
  <c r="E70" i="5"/>
  <c r="G59" i="5"/>
  <c r="U51" i="20" s="1"/>
  <c r="U52" i="20"/>
  <c r="G45" i="5"/>
  <c r="B65" i="5"/>
  <c r="P56" i="20" s="1"/>
  <c r="G37" i="5"/>
  <c r="U31" i="20" s="1"/>
  <c r="P34" i="20"/>
  <c r="S34" i="20"/>
  <c r="D70" i="5"/>
  <c r="G28" i="5"/>
  <c r="U22" i="20" s="1"/>
  <c r="P22" i="20"/>
  <c r="G16" i="5"/>
  <c r="U10" i="20" s="1"/>
  <c r="C70" i="5"/>
  <c r="U11" i="20"/>
  <c r="C72" i="4"/>
  <c r="D57" i="4"/>
  <c r="D59" i="4" s="1"/>
  <c r="R27" i="18"/>
  <c r="D44" i="4"/>
  <c r="R25" i="18" s="1"/>
  <c r="C44" i="4"/>
  <c r="C11" i="4" s="1"/>
  <c r="Q5" i="18" s="1"/>
  <c r="Q25" i="18"/>
  <c r="D74" i="4"/>
  <c r="R39" i="18" s="1"/>
  <c r="R38" i="18"/>
  <c r="C57" i="4"/>
  <c r="C59" i="4" s="1"/>
  <c r="B57" i="4"/>
  <c r="B59" i="4" s="1"/>
  <c r="P5" i="18"/>
  <c r="B72" i="4"/>
  <c r="I20" i="3"/>
  <c r="W5" i="17" s="1"/>
  <c r="K8" i="3"/>
  <c r="Y3" i="17" s="1"/>
  <c r="D20" i="2"/>
  <c r="R13" i="16" s="1"/>
  <c r="R3" i="16"/>
  <c r="Q8" i="16"/>
  <c r="E8" i="2"/>
  <c r="E20" i="2" s="1"/>
  <c r="S13" i="16" s="1"/>
  <c r="S3" i="16"/>
  <c r="G8" i="2"/>
  <c r="P3" i="16"/>
  <c r="B20" i="2"/>
  <c r="P13" i="16" s="1"/>
  <c r="F79" i="1"/>
  <c r="Q119" i="15" s="1"/>
  <c r="Q106" i="15"/>
  <c r="F47" i="1"/>
  <c r="F59" i="1" s="1"/>
  <c r="E79" i="1"/>
  <c r="P119" i="15" s="1"/>
  <c r="E47" i="1"/>
  <c r="E59" i="1" s="1"/>
  <c r="C47" i="1"/>
  <c r="B6" i="10"/>
  <c r="D6" i="11"/>
  <c r="F6" i="10"/>
  <c r="V3" i="17"/>
  <c r="E20" i="3"/>
  <c r="S5" i="17" s="1"/>
  <c r="S2" i="25"/>
  <c r="F35" i="7"/>
  <c r="T4" i="25" s="1"/>
  <c r="Q3" i="16" l="1"/>
  <c r="P25" i="18"/>
  <c r="T3" i="16"/>
  <c r="F77" i="8"/>
  <c r="T68" i="26" s="1"/>
  <c r="C8" i="4"/>
  <c r="C21" i="4" s="1"/>
  <c r="C23" i="4" s="1"/>
  <c r="C25" i="4" s="1"/>
  <c r="E77" i="8"/>
  <c r="S68" i="26" s="1"/>
  <c r="D11" i="4"/>
  <c r="D8" i="4" s="1"/>
  <c r="D21" i="4" s="1"/>
  <c r="G65" i="5"/>
  <c r="U56" i="20" s="1"/>
  <c r="V3" i="16"/>
  <c r="G84" i="6"/>
  <c r="U6" i="31"/>
  <c r="G7" i="13"/>
  <c r="S2" i="26"/>
  <c r="T2" i="26"/>
  <c r="G35" i="7"/>
  <c r="U4" i="25" s="1"/>
  <c r="F70" i="5"/>
  <c r="P2" i="18"/>
  <c r="B21" i="4"/>
  <c r="F33" i="9"/>
  <c r="T24" i="27" s="1"/>
  <c r="E33" i="9"/>
  <c r="S24" i="27" s="1"/>
  <c r="G21" i="9"/>
  <c r="U13" i="27" s="1"/>
  <c r="D33" i="9"/>
  <c r="R24" i="27" s="1"/>
  <c r="B33" i="9"/>
  <c r="P24" i="27" s="1"/>
  <c r="B77" i="8"/>
  <c r="P68" i="26" s="1"/>
  <c r="P2" i="26"/>
  <c r="D77" i="8"/>
  <c r="R68" i="26" s="1"/>
  <c r="U3" i="26"/>
  <c r="G9" i="8"/>
  <c r="F159" i="6"/>
  <c r="T150" i="24" s="1"/>
  <c r="E159" i="6"/>
  <c r="S150" i="24" s="1"/>
  <c r="G9" i="6"/>
  <c r="U2" i="24" s="1"/>
  <c r="D159" i="6"/>
  <c r="R150" i="24" s="1"/>
  <c r="B159" i="6"/>
  <c r="P150" i="24" s="1"/>
  <c r="U76" i="24"/>
  <c r="Q2" i="24"/>
  <c r="P2" i="24"/>
  <c r="U37" i="20"/>
  <c r="B70" i="5"/>
  <c r="G41" i="5"/>
  <c r="G42" i="5" s="1"/>
  <c r="U35" i="20" s="1"/>
  <c r="R34" i="20"/>
  <c r="Q38" i="18"/>
  <c r="C74" i="4"/>
  <c r="Q39" i="18" s="1"/>
  <c r="R5" i="18"/>
  <c r="Q2" i="18"/>
  <c r="B74" i="4"/>
  <c r="P39" i="18" s="1"/>
  <c r="P38" i="18"/>
  <c r="K20" i="3"/>
  <c r="Y5" i="17" s="1"/>
  <c r="G20" i="2"/>
  <c r="U13" i="16" s="1"/>
  <c r="U3" i="16"/>
  <c r="F81" i="1"/>
  <c r="Q120" i="15" s="1"/>
  <c r="Q104" i="15"/>
  <c r="Q95" i="15"/>
  <c r="P95" i="15"/>
  <c r="E81" i="1"/>
  <c r="P120" i="15" s="1"/>
  <c r="P104" i="15"/>
  <c r="C62" i="1"/>
  <c r="Q54" i="15" s="1"/>
  <c r="Q42" i="15"/>
  <c r="B62" i="1"/>
  <c r="P54" i="15" s="1"/>
  <c r="U2" i="31" l="1"/>
  <c r="G29" i="13"/>
  <c r="U22" i="31" s="1"/>
  <c r="G33" i="9"/>
  <c r="U24" i="27" s="1"/>
  <c r="G77" i="8"/>
  <c r="U68" i="26" s="1"/>
  <c r="U2" i="26"/>
  <c r="G159" i="6"/>
  <c r="U150" i="24" s="1"/>
  <c r="G70" i="5"/>
  <c r="U34" i="20"/>
  <c r="R2" i="18"/>
  <c r="Q12" i="18"/>
  <c r="P12" i="18"/>
  <c r="B23" i="4"/>
  <c r="B25" i="4" s="1"/>
  <c r="D23" i="4" l="1"/>
  <c r="D25" i="4" s="1"/>
  <c r="D33" i="4" s="1"/>
  <c r="R12" i="18"/>
  <c r="Q13" i="18"/>
  <c r="P13" i="18"/>
  <c r="R13" i="18" l="1"/>
  <c r="C33" i="4"/>
  <c r="Q18" i="18" s="1"/>
  <c r="Q14" i="18"/>
  <c r="P14" i="18"/>
  <c r="B33" i="4"/>
  <c r="P18" i="18" s="1"/>
  <c r="R14" i="18" l="1"/>
  <c r="R18" i="18"/>
</calcChain>
</file>

<file path=xl/sharedStrings.xml><?xml version="1.0" encoding="utf-8"?>
<sst xmlns="http://schemas.openxmlformats.org/spreadsheetml/2006/main" count="4249" uniqueCount="3319">
  <si>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</si>
  <si>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</si>
  <si>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</si>
  <si>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</si>
  <si>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</si>
  <si>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</si>
  <si>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</si>
  <si>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</si>
  <si>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</si>
  <si>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</si>
  <si>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</si>
  <si>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</si>
  <si>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</si>
  <si>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</si>
  <si>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</si>
  <si>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</si>
  <si>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</si>
  <si>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</si>
  <si>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</si>
  <si>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</si>
  <si>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</si>
  <si>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</si>
  <si>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</si>
  <si>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</si>
  <si>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</si>
  <si>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</si>
  <si>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</si>
  <si>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</si>
  <si>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</si>
  <si>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</si>
  <si>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</si>
  <si>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</si>
  <si>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</si>
  <si>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</si>
  <si>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</si>
  <si>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</si>
  <si>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</si>
  <si>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</si>
  <si>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</si>
  <si>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</si>
  <si>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</si>
  <si>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</si>
  <si>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</si>
  <si>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</si>
  <si>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</si>
  <si>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</si>
  <si>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</si>
  <si>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</si>
  <si>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</si>
  <si>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</si>
  <si>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</si>
  <si>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</si>
  <si>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</si>
  <si>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</si>
  <si>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</si>
  <si>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</si>
  <si>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</si>
  <si>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</si>
  <si>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</si>
  <si>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</si>
  <si>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</si>
  <si>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</si>
  <si>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</si>
  <si>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</si>
  <si>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</si>
  <si>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</si>
  <si>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</si>
  <si>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</si>
  <si>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</si>
  <si>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</si>
  <si>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</si>
  <si>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</si>
  <si>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</si>
  <si>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</si>
  <si>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</si>
  <si>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</si>
  <si>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</si>
  <si>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</si>
  <si>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</si>
  <si>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</si>
  <si>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</si>
  <si>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</si>
  <si>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</si>
  <si>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</si>
  <si>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</si>
  <si>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</si>
  <si>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</si>
  <si>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</si>
  <si>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</si>
  <si>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</si>
  <si>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</si>
  <si>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</si>
  <si>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</si>
  <si>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</si>
  <si>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</si>
  <si>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</si>
  <si>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</si>
  <si>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</si>
  <si>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</si>
  <si>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</si>
  <si>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</si>
  <si>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</si>
  <si>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</si>
  <si>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</si>
  <si>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</si>
  <si>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</si>
  <si>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</si>
  <si>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</si>
  <si>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</si>
  <si>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</si>
  <si>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</si>
  <si>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</si>
  <si>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</si>
  <si>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</si>
  <si>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</si>
  <si>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</si>
  <si>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</si>
  <si>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</si>
  <si>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</si>
  <si>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</si>
  <si>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</si>
  <si>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</si>
  <si>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</si>
  <si>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</si>
  <si>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</si>
  <si>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</si>
  <si>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</si>
  <si>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</si>
  <si>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</si>
  <si>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</si>
  <si>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</si>
  <si>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</si>
  <si>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</si>
  <si>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</si>
  <si>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</si>
  <si>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</si>
  <si>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</si>
  <si>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</si>
  <si>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</si>
  <si>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</si>
  <si>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</si>
  <si>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</si>
  <si>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</si>
  <si>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</si>
  <si>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</si>
  <si>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</si>
  <si>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</si>
  <si>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</si>
  <si>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</si>
  <si>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</si>
  <si>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</si>
  <si>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</si>
  <si>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</si>
  <si>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</si>
  <si>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</si>
  <si>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</si>
  <si>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</si>
  <si>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</si>
  <si>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</si>
  <si>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</si>
  <si>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</si>
  <si>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</si>
  <si>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</si>
  <si>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</si>
  <si>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</si>
  <si>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</si>
  <si>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</si>
  <si>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</si>
  <si>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</si>
  <si>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</si>
  <si>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</si>
  <si>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</si>
  <si>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</si>
  <si>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</si>
  <si>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</si>
  <si>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</si>
  <si>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</si>
  <si>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</si>
  <si>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</si>
  <si>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</si>
  <si>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</si>
  <si>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</si>
  <si>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</si>
  <si>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</si>
  <si>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</si>
  <si>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</si>
  <si>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</si>
  <si>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</si>
  <si>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</si>
  <si>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</si>
  <si>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</si>
  <si>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</si>
  <si>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</si>
  <si>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</si>
  <si>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</si>
  <si>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</si>
  <si>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</si>
  <si>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</si>
  <si>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</si>
  <si>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</si>
  <si>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</si>
  <si>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</si>
  <si>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</si>
  <si>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</si>
  <si>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</si>
  <si>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</si>
  <si>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</si>
  <si>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</si>
  <si>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</si>
  <si>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</si>
  <si>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</si>
  <si>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</si>
  <si>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</si>
  <si>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</si>
  <si>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</si>
  <si>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</si>
  <si>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</si>
  <si>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</si>
  <si>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</si>
  <si>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</si>
  <si>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</si>
  <si>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</si>
  <si>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</si>
  <si>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</si>
  <si>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</si>
  <si>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</si>
  <si>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</si>
  <si>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</si>
  <si>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</si>
  <si>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</si>
  <si>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</si>
  <si>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</si>
  <si>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</si>
  <si>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</si>
  <si>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</si>
  <si>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</si>
  <si>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</si>
  <si>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</si>
  <si>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</si>
  <si>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</si>
  <si>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</si>
  <si>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</si>
  <si>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</si>
  <si>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</si>
  <si>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</si>
  <si>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</si>
  <si>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</si>
  <si>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</si>
  <si>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</si>
  <si>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</si>
  <si>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</si>
  <si>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</si>
  <si>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</si>
  <si>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</si>
  <si>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</si>
  <si>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</si>
  <si>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</si>
  <si>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</si>
  <si>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</si>
  <si>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</si>
  <si>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</si>
  <si>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</si>
  <si>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</si>
  <si>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</si>
  <si>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</si>
  <si>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</si>
  <si>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</si>
  <si>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</si>
  <si>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</si>
  <si>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</si>
  <si>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</si>
  <si>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</si>
  <si>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</si>
  <si>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</si>
  <si>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</si>
  <si>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</si>
  <si>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</si>
  <si>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</si>
  <si>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</si>
  <si>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</si>
  <si>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</si>
  <si>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</si>
  <si>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</si>
  <si>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</si>
  <si>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</si>
  <si>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</si>
  <si>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</si>
  <si>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</si>
  <si>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</si>
  <si>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</si>
  <si>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</si>
  <si>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</si>
  <si>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</si>
  <si>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</si>
  <si>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</si>
  <si>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</si>
  <si>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</si>
  <si>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</si>
  <si>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</si>
  <si>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</si>
  <si>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</si>
  <si>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</si>
  <si>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</si>
  <si>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</si>
  <si>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</si>
  <si>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</si>
  <si>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</si>
  <si>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</si>
  <si>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</si>
  <si>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</si>
  <si>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</si>
  <si>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</si>
  <si>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</si>
  <si>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</si>
  <si>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</si>
  <si>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</si>
  <si>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</si>
  <si>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</si>
  <si>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</si>
  <si>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</si>
  <si>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</si>
  <si>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</si>
  <si>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</si>
  <si>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</si>
  <si>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</si>
  <si>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</si>
  <si>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</si>
  <si>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</si>
  <si>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</si>
  <si>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</si>
  <si>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</si>
  <si>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</si>
  <si>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</si>
  <si>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</si>
  <si>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</si>
  <si>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</si>
  <si>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</si>
  <si>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</si>
  <si>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</si>
  <si>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</si>
  <si>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</si>
  <si>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</si>
  <si>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</si>
  <si>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</si>
  <si>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</si>
  <si>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</si>
  <si>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</si>
  <si>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</si>
  <si>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</si>
  <si>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</si>
  <si>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</si>
  <si>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</si>
  <si>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</si>
  <si>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</si>
  <si>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</si>
  <si>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</si>
  <si>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</si>
  <si>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</si>
  <si>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</si>
  <si>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</si>
  <si>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</si>
  <si>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</si>
  <si>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</si>
  <si>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</si>
  <si>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</si>
  <si>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</si>
  <si>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</si>
  <si>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</si>
  <si>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</si>
  <si>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</si>
  <si>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</si>
  <si>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</si>
  <si>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</si>
  <si>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</si>
  <si>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</si>
  <si>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</si>
  <si>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</si>
  <si>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</si>
  <si>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</si>
  <si>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</si>
  <si>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</si>
  <si>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</si>
  <si>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</si>
  <si>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</si>
  <si>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</si>
  <si>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</si>
  <si>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</si>
  <si>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</si>
  <si>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</si>
  <si>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</si>
  <si>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</si>
  <si>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</si>
  <si>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</si>
  <si>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</si>
  <si>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</si>
  <si>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</si>
  <si>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</si>
  <si>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</si>
  <si>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</si>
  <si>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</si>
  <si>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</si>
  <si>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</si>
  <si>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</si>
  <si>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</si>
  <si>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</si>
  <si>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</si>
  <si>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</si>
  <si>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</si>
  <si>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</si>
  <si>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</si>
  <si>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</si>
  <si>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</si>
  <si>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</si>
  <si>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</si>
  <si>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</si>
  <si>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</si>
  <si>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</si>
  <si>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</si>
  <si>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</si>
  <si>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</si>
  <si>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</si>
  <si>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</si>
  <si>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</si>
  <si>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</si>
  <si>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</si>
  <si>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</si>
  <si>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</si>
  <si>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</si>
  <si>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</si>
  <si>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</si>
  <si>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</si>
  <si>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</si>
  <si>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</si>
  <si>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</si>
  <si>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</si>
  <si>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</si>
  <si>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</si>
  <si>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</si>
  <si>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</si>
  <si>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</si>
  <si>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</si>
  <si>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</si>
  <si>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</si>
  <si>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</si>
  <si>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</si>
  <si>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</si>
  <si>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</si>
  <si>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</si>
  <si>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</si>
  <si>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</si>
  <si>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</si>
  <si>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</si>
  <si>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</si>
  <si>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</si>
  <si>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</si>
  <si>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</si>
  <si>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</si>
  <si>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</si>
  <si>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</si>
  <si>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</si>
  <si>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</si>
  <si>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</si>
  <si>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</si>
  <si>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</si>
  <si>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</si>
  <si>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</si>
  <si>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</si>
  <si>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</si>
  <si>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</si>
  <si>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</si>
  <si>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</si>
  <si>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</si>
  <si>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</si>
  <si>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</si>
  <si>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</si>
  <si>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</si>
  <si>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</si>
  <si>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</si>
  <si>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</si>
  <si>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</si>
  <si>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</si>
  <si>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</si>
  <si>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</si>
  <si>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</si>
  <si>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</si>
  <si>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</si>
  <si>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</si>
  <si>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</si>
  <si>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</si>
  <si>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</si>
  <si>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</si>
  <si>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</si>
  <si>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</si>
  <si>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</si>
  <si>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</si>
  <si>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</si>
  <si>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</si>
  <si>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</si>
  <si>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</si>
  <si>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</si>
  <si>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</si>
  <si>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</si>
  <si>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</si>
  <si>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</si>
  <si>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</si>
  <si>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</si>
  <si>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</si>
  <si>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</si>
  <si>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</si>
  <si>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</si>
  <si>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</si>
  <si>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</si>
  <si>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</si>
  <si>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</si>
  <si>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</si>
  <si>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</si>
  <si>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</si>
  <si>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</si>
  <si>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</si>
  <si>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</si>
  <si>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</si>
  <si>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</si>
  <si>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</si>
  <si>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</si>
  <si>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</si>
  <si>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</si>
  <si>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</si>
  <si>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</si>
  <si>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</si>
  <si>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</si>
  <si>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</si>
  <si>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</si>
  <si>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</si>
  <si>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</si>
  <si>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</si>
  <si>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</si>
  <si>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</si>
  <si>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</si>
  <si>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</si>
  <si>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</si>
  <si>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</si>
  <si>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</si>
  <si>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</si>
  <si>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</si>
  <si>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</si>
  <si>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</si>
  <si>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</si>
  <si>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</si>
  <si>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</si>
  <si>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</si>
  <si>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</si>
  <si>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</si>
  <si>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</si>
  <si>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</si>
  <si>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</si>
  <si>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</si>
  <si>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</si>
  <si>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</si>
  <si>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</si>
  <si>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</si>
  <si>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</si>
  <si>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</si>
  <si>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</si>
  <si>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</si>
  <si>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</si>
  <si>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</si>
  <si>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</si>
  <si>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</si>
  <si>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</si>
  <si>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</si>
  <si>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</si>
  <si>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</si>
  <si>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</si>
  <si>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</si>
  <si>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</si>
  <si>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</si>
  <si>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</si>
  <si>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</si>
  <si>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</si>
  <si>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</si>
  <si>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</si>
  <si>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</si>
  <si>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</si>
  <si>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</si>
  <si>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</si>
  <si>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</si>
  <si>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</si>
  <si>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</si>
  <si>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</si>
  <si>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</si>
  <si>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</si>
  <si>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</si>
  <si>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</si>
  <si>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</si>
  <si>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</si>
  <si>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</si>
  <si>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</si>
  <si>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</si>
  <si>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</si>
  <si>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</si>
  <si>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</si>
  <si>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</si>
  <si>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</si>
  <si>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</si>
  <si>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</si>
  <si>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</si>
  <si>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</si>
  <si>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</si>
  <si>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</si>
  <si>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</si>
  <si>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</si>
  <si>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</si>
  <si>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</si>
  <si>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</si>
  <si>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</si>
  <si>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</si>
  <si>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</si>
  <si>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</si>
  <si>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</si>
  <si>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</si>
  <si>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</si>
  <si>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</si>
  <si>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</si>
  <si>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</si>
  <si>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</si>
  <si>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</si>
  <si>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</si>
  <si>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</si>
  <si>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</si>
  <si>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</si>
  <si>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</si>
  <si>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</si>
  <si>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</si>
  <si>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</si>
  <si>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</si>
  <si>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</si>
  <si>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</si>
  <si>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</si>
  <si>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</si>
  <si>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</si>
  <si>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</si>
  <si>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</si>
  <si>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</si>
  <si>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</si>
  <si>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</si>
  <si>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</si>
  <si>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</si>
  <si>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</si>
  <si>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</si>
  <si>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</si>
  <si>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</si>
  <si>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</si>
  <si>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</si>
  <si>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</si>
  <si>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</si>
  <si>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</si>
  <si>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</si>
  <si>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</si>
  <si>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</si>
  <si>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</si>
  <si>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</si>
  <si>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</si>
  <si>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</si>
  <si>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</si>
  <si>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</si>
  <si>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</si>
  <si>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</si>
  <si>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</si>
  <si>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</si>
  <si>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</si>
  <si>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</si>
  <si>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</si>
  <si>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</si>
  <si>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</si>
  <si>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</si>
  <si>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</si>
  <si>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</si>
  <si>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</si>
  <si>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</si>
  <si>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</si>
  <si>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</si>
  <si>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</si>
  <si>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</si>
  <si>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</si>
  <si>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</si>
  <si>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</si>
  <si>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</si>
  <si>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</si>
  <si>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</si>
  <si>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</si>
  <si>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</si>
  <si>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</si>
  <si>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</si>
  <si>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</si>
  <si>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</si>
  <si>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</si>
  <si>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</si>
  <si>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</si>
  <si>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</si>
  <si>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</si>
  <si>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</si>
  <si>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</si>
  <si>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</si>
  <si>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</si>
  <si>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</si>
  <si>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</si>
  <si>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</si>
  <si>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</si>
  <si>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</si>
  <si>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</si>
  <si>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</si>
  <si>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</si>
  <si>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</si>
  <si>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</si>
  <si>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</si>
  <si>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</si>
  <si>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</si>
  <si>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</si>
  <si>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</si>
  <si>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</si>
  <si>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</si>
  <si>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</si>
  <si>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</si>
  <si>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</si>
  <si>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</si>
  <si>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</si>
  <si>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</si>
  <si>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</si>
  <si>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</si>
  <si>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</si>
  <si>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</si>
  <si>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</si>
  <si>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</si>
  <si>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</si>
  <si>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</si>
  <si>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</si>
  <si>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</si>
  <si>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</si>
  <si>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</si>
  <si>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</si>
  <si>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</si>
  <si>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</si>
  <si>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</si>
  <si>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</si>
  <si>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</si>
  <si>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</si>
  <si>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</si>
  <si>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</si>
  <si>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</si>
  <si>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</si>
  <si>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</si>
  <si>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</si>
  <si>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</si>
  <si>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</si>
  <si>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</si>
  <si>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</si>
  <si>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</si>
  <si>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</si>
  <si>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</si>
  <si>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</si>
  <si>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</si>
  <si>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</si>
  <si>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</si>
  <si>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</si>
  <si>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</si>
  <si>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</si>
  <si>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</si>
  <si>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</si>
  <si>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</si>
  <si>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</si>
  <si>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</si>
  <si>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</si>
  <si>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</si>
  <si>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</si>
  <si>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</si>
  <si>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</si>
  <si>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</si>
  <si>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</si>
  <si>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</si>
  <si>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</si>
  <si>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</si>
  <si>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</si>
  <si>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</si>
  <si>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</si>
  <si>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</si>
  <si>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</si>
  <si>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</si>
  <si>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</si>
  <si>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</si>
  <si>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</si>
  <si>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</si>
  <si>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</si>
  <si>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</si>
  <si>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</si>
  <si>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</si>
  <si>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</si>
  <si>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</si>
  <si>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</si>
  <si>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</si>
  <si>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</si>
  <si>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</si>
  <si>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</si>
  <si>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</si>
  <si>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</si>
  <si>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</si>
  <si>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</si>
  <si>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</si>
  <si>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</si>
  <si>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</si>
  <si>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</si>
  <si>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</si>
  <si>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</si>
  <si>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</si>
  <si>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</si>
  <si>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</si>
  <si>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</si>
  <si>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</si>
  <si>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</si>
  <si>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</si>
  <si>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</si>
  <si>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</si>
  <si>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</si>
  <si>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</si>
  <si>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</si>
  <si>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</si>
  <si>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</si>
  <si>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</si>
  <si>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</si>
  <si>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</si>
  <si>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</si>
  <si>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</si>
  <si>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</si>
  <si>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</si>
  <si>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</si>
  <si>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</si>
  <si>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</si>
  <si>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</si>
  <si>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</si>
  <si>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</si>
  <si>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</si>
  <si>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</si>
  <si>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</si>
  <si>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</si>
  <si>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</si>
  <si>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</si>
  <si>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</si>
  <si>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</si>
  <si>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</si>
  <si>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</si>
  <si>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</si>
  <si>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</si>
  <si>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</si>
  <si>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</si>
  <si>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</si>
  <si>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</si>
  <si>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</si>
  <si>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</si>
  <si>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</si>
  <si>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</si>
  <si>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</si>
  <si>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</si>
  <si>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</si>
  <si>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</si>
  <si>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</si>
  <si>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</si>
  <si>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</si>
  <si>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</si>
  <si>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</si>
  <si>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</si>
  <si>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</si>
  <si>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</si>
  <si>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</si>
  <si>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</si>
  <si>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</si>
  <si>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</si>
  <si>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</si>
  <si>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</si>
  <si>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</si>
  <si>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</si>
  <si>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</si>
  <si>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</si>
  <si>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</si>
  <si>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</si>
  <si>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</si>
  <si>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</si>
  <si>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</si>
  <si>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</si>
  <si>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</si>
  <si>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</si>
  <si>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</si>
  <si>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</si>
  <si>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</si>
  <si>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</si>
  <si>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</si>
  <si>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</si>
  <si>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</si>
  <si>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</si>
  <si>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</si>
  <si>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</si>
  <si>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</si>
  <si>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</si>
  <si>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</si>
  <si>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</si>
  <si>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</si>
  <si>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</si>
  <si>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</si>
  <si>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</si>
  <si>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</si>
  <si>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</si>
  <si>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</si>
  <si>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</si>
  <si>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</si>
  <si>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</si>
  <si>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</si>
  <si>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</si>
  <si>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</si>
  <si>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</si>
  <si>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</si>
  <si>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</si>
  <si>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</si>
  <si>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</si>
  <si>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</si>
  <si>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</si>
  <si>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</si>
  <si>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</si>
  <si>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</si>
  <si>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</si>
  <si>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</si>
  <si>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</si>
  <si>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</si>
  <si>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</si>
  <si>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</si>
  <si>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</si>
  <si>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</si>
  <si>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</si>
  <si>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</si>
  <si>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</si>
  <si>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</si>
  <si>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</si>
  <si>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</si>
  <si>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</si>
  <si>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</si>
  <si>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</si>
  <si>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</si>
  <si>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</si>
  <si>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</si>
  <si>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</si>
  <si>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</si>
  <si>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</si>
  <si>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</si>
  <si>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</si>
  <si>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</si>
  <si>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</si>
  <si>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</si>
  <si>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</si>
  <si>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</si>
  <si>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</si>
  <si>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</si>
  <si>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</si>
  <si>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</si>
  <si>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</si>
  <si>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</si>
  <si>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</si>
  <si>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</si>
  <si>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</si>
  <si>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</si>
  <si>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</si>
  <si>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</si>
  <si>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</si>
  <si>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</si>
  <si>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</si>
  <si>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</si>
  <si>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</si>
  <si>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</si>
  <si>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</si>
  <si>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</si>
  <si>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</si>
  <si>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</si>
  <si>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</si>
  <si>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</si>
  <si>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</si>
  <si>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</si>
  <si>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</si>
  <si>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</si>
  <si>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</si>
  <si>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</si>
  <si>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</si>
  <si>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</si>
  <si>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</si>
  <si>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</si>
  <si>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</si>
  <si>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</si>
  <si>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</si>
  <si>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</si>
  <si>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</si>
  <si>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</si>
  <si>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</si>
  <si>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</si>
  <si>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</si>
  <si>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</si>
  <si>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</si>
  <si>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</si>
  <si>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</si>
  <si>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</si>
  <si>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</si>
  <si>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</si>
  <si>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</si>
  <si>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</si>
  <si>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</si>
  <si>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</si>
  <si>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</si>
  <si>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</si>
  <si>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</si>
  <si>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</si>
  <si>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</si>
  <si>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</si>
  <si>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</si>
  <si>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</si>
  <si>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</si>
  <si>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</si>
  <si>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</si>
  <si>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</si>
  <si>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</si>
  <si>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</si>
  <si>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</si>
  <si>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</si>
  <si>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</si>
  <si>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</si>
  <si>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</si>
  <si>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</si>
  <si>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</si>
  <si>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</si>
  <si>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</si>
  <si>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</si>
  <si>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</si>
  <si>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</si>
  <si>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</si>
  <si>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</si>
  <si>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</si>
  <si>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</si>
  <si>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</si>
  <si>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</si>
  <si>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</si>
  <si>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</si>
  <si>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</si>
  <si>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</si>
  <si>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</si>
  <si>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</si>
  <si>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</si>
  <si>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</si>
  <si>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</si>
  <si>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</si>
  <si>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</si>
  <si>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</si>
  <si>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</si>
  <si>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</si>
  <si>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</si>
  <si>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</si>
  <si>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</si>
  <si>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</si>
  <si>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</si>
  <si>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</si>
  <si>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</si>
  <si>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</si>
  <si>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</si>
  <si>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</si>
  <si>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</si>
  <si>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</si>
  <si>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</si>
  <si>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</si>
  <si>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</si>
  <si>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</si>
  <si>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</si>
  <si>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</si>
  <si>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</si>
  <si>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</si>
  <si>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</si>
  <si>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</si>
  <si>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</si>
  <si>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</si>
  <si>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</si>
  <si>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</si>
  <si>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</si>
  <si>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</si>
  <si>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</si>
  <si>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</si>
  <si>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</si>
  <si>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</si>
  <si>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</si>
  <si>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</si>
  <si>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</si>
  <si>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</si>
  <si>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</si>
  <si>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</si>
  <si>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</si>
  <si>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</si>
  <si>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</si>
  <si>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</si>
  <si>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</si>
  <si>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</si>
  <si>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</si>
  <si>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</si>
  <si>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</si>
  <si>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</si>
  <si>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</si>
  <si>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</si>
  <si>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</si>
  <si>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</si>
  <si>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</si>
  <si>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</si>
  <si>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</si>
  <si>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</si>
  <si>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</si>
  <si>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</si>
  <si>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</si>
  <si>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</si>
  <si>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</si>
  <si>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</si>
  <si>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</si>
  <si>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</si>
  <si>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</si>
  <si>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</si>
  <si>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</si>
  <si>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</si>
  <si>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</si>
  <si>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</si>
  <si>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</si>
  <si>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</si>
  <si>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</si>
  <si>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</si>
  <si>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</si>
  <si>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</si>
  <si>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</si>
  <si>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</si>
  <si>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</si>
  <si>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</si>
  <si>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</si>
  <si>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</si>
  <si>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</si>
  <si>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</si>
  <si>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</si>
  <si>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</si>
  <si>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</si>
  <si>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</si>
  <si>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</si>
  <si>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</si>
  <si>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</si>
  <si>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</si>
  <si>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</si>
  <si>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</si>
  <si>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</si>
  <si>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</si>
  <si>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</si>
  <si>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</si>
  <si>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</si>
  <si>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</si>
  <si>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</si>
  <si>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</si>
  <si>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</si>
  <si>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</si>
  <si>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</si>
  <si>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</si>
  <si>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</si>
  <si>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</si>
  <si>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</si>
  <si>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</si>
  <si>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</si>
  <si>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</si>
  <si>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</si>
  <si>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</si>
  <si>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</si>
  <si>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</si>
  <si>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</si>
  <si>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</si>
  <si>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</si>
  <si>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</si>
  <si>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</si>
  <si>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</si>
  <si>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</si>
  <si>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</si>
  <si>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</si>
  <si>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</si>
  <si>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</si>
  <si>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</si>
  <si>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</si>
  <si>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</si>
  <si>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</si>
  <si>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</si>
  <si>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</si>
  <si>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</si>
  <si>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</si>
  <si>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</si>
  <si>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</si>
  <si>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</si>
  <si>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</si>
  <si>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</si>
  <si>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</si>
  <si>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</si>
  <si>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</si>
  <si>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</si>
  <si>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</si>
  <si>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</si>
  <si>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</si>
  <si>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</si>
  <si>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</si>
  <si>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</si>
  <si>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</si>
  <si>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</si>
  <si>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</si>
  <si>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</si>
  <si>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</si>
  <si>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</si>
  <si>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</si>
  <si>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</si>
  <si>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</si>
  <si>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</si>
  <si>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</si>
  <si>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</si>
  <si>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</si>
  <si>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</si>
  <si>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</si>
  <si>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</si>
  <si>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</si>
  <si>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</si>
  <si>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</si>
  <si>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</si>
  <si>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</si>
  <si>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</si>
  <si>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</si>
  <si>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</si>
  <si>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</si>
  <si>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</si>
  <si>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</si>
  <si>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</si>
  <si>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</si>
  <si>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</si>
  <si>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</si>
  <si>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</si>
  <si>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</si>
  <si>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</si>
  <si>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</si>
  <si>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</si>
  <si>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</si>
  <si>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</si>
  <si>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</si>
  <si>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</si>
  <si>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</si>
  <si>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</si>
  <si>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</si>
  <si>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</si>
  <si>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</si>
  <si>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</si>
  <si>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</si>
  <si>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</si>
  <si>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</si>
  <si>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</si>
  <si>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</si>
  <si>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</si>
  <si>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</si>
  <si>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</si>
  <si>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</si>
  <si>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</si>
  <si>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</si>
  <si>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</si>
  <si>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</si>
  <si>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</si>
  <si>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</si>
  <si>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</si>
  <si>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</si>
  <si>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</si>
  <si>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</si>
  <si>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</si>
  <si>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</si>
  <si>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</si>
  <si>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</si>
  <si>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</si>
  <si>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</si>
  <si>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</si>
  <si>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</si>
  <si>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</si>
  <si>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</si>
  <si>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</si>
  <si>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</si>
  <si>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</si>
  <si>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</si>
  <si>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</si>
  <si>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</si>
  <si>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</si>
  <si>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</si>
  <si>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</si>
  <si>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</si>
  <si>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</si>
  <si>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</si>
  <si>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</si>
  <si>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</si>
  <si>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</si>
  <si>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</si>
  <si>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</si>
  <si>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</si>
  <si>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</si>
  <si>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</si>
  <si>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</si>
  <si>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</si>
  <si>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</si>
  <si>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</si>
  <si>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</si>
  <si>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</si>
  <si>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</si>
  <si>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</si>
  <si>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</si>
  <si>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</si>
  <si>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</si>
  <si>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</si>
  <si>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</si>
  <si>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</si>
  <si>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</si>
  <si>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</si>
  <si>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</si>
  <si>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</si>
  <si>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</si>
  <si>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</si>
  <si>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</si>
  <si>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</si>
  <si>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</si>
  <si>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</si>
  <si>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</si>
  <si>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</si>
  <si>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</si>
  <si>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</si>
  <si>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</si>
  <si>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</si>
  <si>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</si>
  <si>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</si>
  <si>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</si>
  <si>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</si>
  <si>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</si>
  <si>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</si>
  <si>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</si>
  <si>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</si>
  <si>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</si>
  <si>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</si>
  <si>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</si>
  <si>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</si>
  <si>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</si>
  <si>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</si>
  <si>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</si>
  <si>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</si>
  <si>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</si>
  <si>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</si>
  <si>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</si>
  <si>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</si>
  <si>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</si>
  <si>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</si>
  <si>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</si>
  <si>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</si>
  <si>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</si>
  <si>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</si>
  <si>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</si>
  <si>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</si>
  <si>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</si>
  <si>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</si>
  <si>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</si>
  <si>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</si>
  <si>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</si>
  <si>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</si>
  <si>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</si>
  <si>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</si>
  <si>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</si>
  <si>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</si>
  <si>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</si>
  <si>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</si>
  <si>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</si>
  <si>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</si>
  <si>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</si>
  <si>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</si>
  <si>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</si>
  <si>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</si>
  <si>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</si>
  <si>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</si>
  <si>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</si>
  <si>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</si>
  <si>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</si>
  <si>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</si>
  <si>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</si>
  <si>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</si>
  <si>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</si>
  <si>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</si>
  <si>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</si>
  <si>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</si>
  <si>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</si>
  <si>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</si>
  <si>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</si>
  <si>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</si>
  <si>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</si>
  <si>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</si>
  <si>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</si>
  <si>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</si>
  <si>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</si>
  <si>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</si>
  <si>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</si>
  <si>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</si>
  <si>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</si>
  <si>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</si>
  <si>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</si>
  <si>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</si>
  <si>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</si>
  <si>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</si>
  <si>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</si>
  <si>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</si>
  <si>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</si>
  <si>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</si>
  <si>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</si>
  <si>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</si>
  <si>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</si>
  <si>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</si>
  <si>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</si>
  <si>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</si>
  <si>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</si>
  <si>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</si>
  <si>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</si>
  <si>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</si>
  <si>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</si>
  <si>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</si>
  <si>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</si>
  <si>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</si>
  <si>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</si>
  <si>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</si>
  <si>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</si>
  <si>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</si>
  <si>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</si>
  <si>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</si>
  <si>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</si>
  <si>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</si>
  <si>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</si>
  <si>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</si>
  <si>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</si>
  <si>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</si>
  <si>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</si>
  <si>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</si>
  <si>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</si>
  <si>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</si>
  <si>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</si>
  <si>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</si>
  <si>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</si>
  <si>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</si>
  <si>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</si>
  <si>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</si>
  <si>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</si>
  <si>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</si>
  <si>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</si>
  <si>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</si>
  <si>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</si>
  <si>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</si>
  <si>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</si>
  <si>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</si>
  <si>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</si>
  <si>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</si>
  <si>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</si>
  <si>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</si>
  <si>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</si>
  <si>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</si>
  <si>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</si>
  <si>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</si>
  <si>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</si>
  <si>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</si>
  <si>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</si>
  <si>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</si>
  <si>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</si>
  <si>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</si>
  <si>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</si>
  <si>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</si>
  <si>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</si>
  <si>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</si>
  <si>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</si>
  <si>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</si>
  <si>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</si>
  <si>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</si>
  <si>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</si>
  <si>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</si>
  <si>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</si>
  <si>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</si>
  <si>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</si>
  <si>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</si>
  <si>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</si>
  <si>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</si>
  <si>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</si>
  <si>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</si>
  <si>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</si>
  <si>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</si>
  <si>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</si>
  <si>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</si>
  <si>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</si>
  <si>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</si>
  <si>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</si>
  <si>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</si>
  <si>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</si>
  <si>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</si>
  <si>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</si>
  <si>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</si>
  <si>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</si>
  <si>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</si>
  <si>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</si>
  <si>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</si>
  <si>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</si>
  <si>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</si>
  <si>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</si>
  <si>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</si>
  <si>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</si>
  <si>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</si>
  <si>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</si>
  <si>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</si>
  <si>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</si>
  <si>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</si>
  <si>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</si>
  <si>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</si>
  <si>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</si>
  <si>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</si>
  <si>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</si>
  <si>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</si>
  <si>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</si>
  <si>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</si>
  <si>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</si>
  <si>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</si>
  <si>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</si>
  <si>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</si>
  <si>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</si>
  <si>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</si>
  <si>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</si>
  <si>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</si>
  <si>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</si>
  <si>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</si>
  <si>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</si>
  <si>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</si>
  <si>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</si>
  <si>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</si>
  <si>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</si>
  <si>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</si>
  <si>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</si>
  <si>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</si>
  <si>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</si>
  <si>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</si>
  <si>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</si>
  <si>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</si>
  <si>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</si>
  <si>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</si>
  <si>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</si>
  <si>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</si>
  <si>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</si>
  <si>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</si>
  <si>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</si>
  <si>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</si>
  <si>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</si>
  <si>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</si>
  <si>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</si>
  <si>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</si>
  <si>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</si>
  <si>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</si>
  <si>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</si>
  <si>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</si>
  <si>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</si>
  <si>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</si>
  <si>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</si>
  <si>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</si>
  <si>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</si>
  <si>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</si>
  <si>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</si>
  <si>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</si>
  <si>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</si>
  <si>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</si>
  <si>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</si>
  <si>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</si>
  <si>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</si>
  <si>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</si>
  <si>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</si>
  <si>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</si>
  <si>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</si>
  <si>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</si>
  <si>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</si>
  <si>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</si>
  <si>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</si>
  <si>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</si>
  <si>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</si>
  <si>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</si>
  <si>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</si>
  <si>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</si>
  <si>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</si>
  <si>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</si>
  <si>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</si>
  <si>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</si>
  <si>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</si>
  <si>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</si>
  <si>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</si>
  <si>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</si>
  <si>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</si>
  <si>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</si>
  <si>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</si>
  <si>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</si>
  <si>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</si>
  <si>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</si>
  <si>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</si>
  <si>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</si>
  <si>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</si>
  <si>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</si>
  <si>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</si>
  <si>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</si>
  <si>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</si>
  <si>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</si>
  <si>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</si>
  <si>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</si>
  <si>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</si>
  <si>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</si>
  <si>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</si>
  <si>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</si>
  <si>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</si>
  <si>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</si>
  <si>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</si>
  <si>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</si>
  <si>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</si>
  <si>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</si>
  <si>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</si>
  <si>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</si>
  <si>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</si>
  <si>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</si>
  <si>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</si>
  <si>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</si>
  <si>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</si>
  <si>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</si>
  <si>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</si>
  <si>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</si>
  <si>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</si>
  <si>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</si>
  <si>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</si>
  <si>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</si>
  <si>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</si>
  <si>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</si>
  <si>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</si>
  <si>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</si>
  <si>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</si>
  <si>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</si>
  <si>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</si>
  <si>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</si>
  <si>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</si>
  <si>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</si>
  <si>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</si>
  <si>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</si>
  <si>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</si>
  <si>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</si>
  <si>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</si>
  <si>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</si>
  <si>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</si>
  <si>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</si>
  <si>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</si>
  <si>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</si>
  <si>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</si>
  <si>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</si>
  <si>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</si>
  <si>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</si>
  <si>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</si>
  <si>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</si>
  <si>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</si>
  <si>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</si>
  <si>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</si>
  <si>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</si>
  <si>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</si>
  <si>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</si>
  <si>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</si>
  <si>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</si>
  <si>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</si>
  <si>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</si>
  <si>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</si>
  <si>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</si>
  <si>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</si>
  <si>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</si>
  <si>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</si>
  <si>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</si>
  <si>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</si>
  <si>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</si>
  <si>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</si>
  <si>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</si>
  <si>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</si>
  <si>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</si>
  <si>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</si>
  <si>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</si>
  <si>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</si>
  <si>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</si>
  <si>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</si>
  <si>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</si>
  <si>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</si>
  <si>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</si>
  <si>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</si>
  <si>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</si>
  <si>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</si>
  <si>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</si>
  <si>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</si>
  <si>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</si>
  <si>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</si>
  <si>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</si>
  <si>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</si>
  <si>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</si>
  <si>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</si>
  <si>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</si>
  <si>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</si>
  <si>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</si>
  <si>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</si>
  <si>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</si>
  <si>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</si>
  <si>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</si>
  <si>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</si>
  <si>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</si>
  <si>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</si>
  <si>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</si>
  <si>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</si>
  <si>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</si>
  <si>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</si>
  <si>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</si>
  <si>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</si>
  <si>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</si>
  <si>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</si>
  <si>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</si>
  <si>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</si>
  <si>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</si>
  <si>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</si>
  <si>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</si>
  <si>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</si>
  <si>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</si>
  <si>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</si>
  <si>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</si>
  <si>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</si>
  <si>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</si>
  <si>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</si>
  <si>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</si>
  <si>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</si>
  <si>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</si>
  <si>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</si>
  <si>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</si>
  <si>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</si>
  <si>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</si>
  <si>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</si>
  <si>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</si>
  <si>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</si>
  <si>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</si>
  <si>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</si>
  <si>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</si>
  <si>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</si>
  <si>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</si>
  <si>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</si>
  <si>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</si>
  <si>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</si>
  <si>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</si>
  <si>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</si>
  <si>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</si>
  <si>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</si>
  <si>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</si>
  <si>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</si>
  <si>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</si>
  <si>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</si>
  <si>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</si>
  <si>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</si>
  <si>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</si>
  <si>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</si>
  <si>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</si>
  <si>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</si>
  <si>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</si>
  <si>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</si>
  <si>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</si>
  <si>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</si>
  <si>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</si>
  <si>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</si>
  <si>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</si>
  <si>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</si>
  <si>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</si>
  <si>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</si>
  <si>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</si>
  <si>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</si>
  <si>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</si>
  <si>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</si>
  <si>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</si>
  <si>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</si>
  <si>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</si>
  <si>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</si>
  <si>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</si>
  <si>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</si>
  <si>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</si>
  <si>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</si>
  <si>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</si>
  <si>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</si>
  <si>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</si>
  <si>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</si>
  <si>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</si>
  <si>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</si>
  <si>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</si>
  <si>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</si>
  <si>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</si>
  <si>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</si>
  <si>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</si>
  <si>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</si>
  <si>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</si>
  <si>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</si>
  <si>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</si>
  <si>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</si>
  <si>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</si>
  <si>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</si>
  <si>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</si>
  <si>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</si>
  <si>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</si>
  <si>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</si>
  <si>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</si>
  <si>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</si>
  <si>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</si>
  <si>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</si>
  <si>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</si>
  <si>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</si>
  <si>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</si>
  <si>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</si>
  <si>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</si>
  <si>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</si>
  <si>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</si>
  <si>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</si>
  <si>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</si>
  <si>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</si>
  <si>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</si>
  <si>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</si>
  <si>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</si>
  <si>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</si>
  <si>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</si>
  <si>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</si>
  <si>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</si>
  <si>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</si>
  <si>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</si>
  <si>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</si>
  <si>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</si>
  <si>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</si>
  <si>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</si>
  <si>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</si>
  <si>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</si>
  <si>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</si>
  <si>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</si>
  <si>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</si>
  <si>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</si>
  <si>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</si>
  <si>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</si>
  <si>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</si>
  <si>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</si>
  <si>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</si>
  <si>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</si>
  <si>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</si>
  <si>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</si>
  <si>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</si>
  <si>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</si>
  <si>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</si>
  <si>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</si>
  <si>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</si>
  <si>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</si>
  <si>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</si>
  <si>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</si>
  <si>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</si>
  <si>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</si>
  <si>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</si>
  <si>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</si>
  <si>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</si>
  <si>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</si>
  <si>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</si>
  <si>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</si>
  <si>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</si>
  <si>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</si>
  <si>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</si>
  <si>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</si>
  <si>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</si>
  <si>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</si>
  <si>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</si>
  <si>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</si>
  <si>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</si>
  <si>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</si>
  <si>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</si>
  <si>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</si>
  <si>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</si>
  <si>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</si>
  <si>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</si>
  <si>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</si>
  <si>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</si>
  <si>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</si>
  <si>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</si>
  <si>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</si>
  <si>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</si>
  <si>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</si>
  <si>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</si>
  <si>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</si>
  <si>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</si>
  <si>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</si>
  <si>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</si>
  <si>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</si>
  <si>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</si>
  <si>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</si>
  <si>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</si>
  <si>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</si>
  <si>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</si>
  <si>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</si>
  <si>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</si>
  <si>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</si>
  <si>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</si>
  <si>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</si>
  <si>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</si>
  <si>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</si>
  <si>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</si>
  <si>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</si>
  <si>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</si>
  <si>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</si>
  <si>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</si>
  <si>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</si>
  <si>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</si>
  <si>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</si>
  <si>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</si>
  <si>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</si>
  <si>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</si>
  <si>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</si>
  <si>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</si>
  <si>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</si>
  <si>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</si>
  <si>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</si>
  <si>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</si>
  <si>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</si>
  <si>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</si>
  <si>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</si>
  <si>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</si>
  <si>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</si>
  <si>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</si>
  <si>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</si>
  <si>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</si>
  <si>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</si>
  <si>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</si>
  <si>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</si>
  <si>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</si>
  <si>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</si>
  <si>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</si>
  <si>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</si>
  <si>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</si>
  <si>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</si>
  <si>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</si>
  <si>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</si>
  <si>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</si>
  <si>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</si>
  <si>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</si>
  <si>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</si>
  <si>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</si>
  <si>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</si>
  <si>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</si>
  <si>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</si>
  <si>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</si>
  <si>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</si>
  <si>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</si>
  <si>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</si>
  <si>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</si>
  <si>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</si>
  <si>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</si>
  <si>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</si>
  <si>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</si>
  <si>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</si>
  <si>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</si>
  <si>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</si>
  <si>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</si>
  <si>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</si>
  <si>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</si>
  <si>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</si>
  <si>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</si>
  <si>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</si>
  <si>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</si>
  <si>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</si>
  <si>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</si>
  <si>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</si>
  <si>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</si>
  <si>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</si>
  <si>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</si>
  <si>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</si>
  <si>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</si>
  <si>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</si>
  <si>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</si>
  <si>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</si>
  <si>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</si>
  <si>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</si>
  <si>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</si>
  <si>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</si>
  <si>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</si>
  <si>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</si>
  <si>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</si>
  <si>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</si>
  <si>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</si>
  <si>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</si>
  <si>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</si>
  <si>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</si>
  <si>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</si>
  <si>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</si>
  <si>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</si>
  <si>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</si>
  <si>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</si>
  <si>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</si>
  <si>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</si>
  <si>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</si>
  <si>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</si>
  <si>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</si>
  <si>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</si>
  <si>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</si>
  <si>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</si>
  <si>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</si>
  <si>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</si>
  <si>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</si>
  <si>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</si>
  <si>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</si>
  <si>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</si>
  <si>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</si>
  <si>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</si>
  <si>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</si>
  <si>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</si>
  <si>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</si>
  <si>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</si>
  <si>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</si>
  <si>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</si>
  <si>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</si>
  <si>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</si>
  <si>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</si>
  <si>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</si>
  <si>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</si>
  <si>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</si>
  <si>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</si>
  <si>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</si>
  <si>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</si>
  <si>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</si>
  <si>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</si>
  <si>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</si>
  <si>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</si>
  <si>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</si>
  <si>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</si>
  <si>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</si>
  <si>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</si>
  <si>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</si>
  <si>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</si>
  <si>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</si>
  <si>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</si>
  <si>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</si>
  <si>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</si>
  <si>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</si>
  <si>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</si>
  <si>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</si>
  <si>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</si>
  <si>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</si>
  <si>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</si>
  <si>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</si>
  <si>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</si>
  <si>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</si>
  <si>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</si>
  <si>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</si>
  <si>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</si>
  <si>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</si>
  <si>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</si>
  <si>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</si>
  <si>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</si>
  <si>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</si>
  <si>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</si>
  <si>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</si>
  <si>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</si>
  <si>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</si>
  <si>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</si>
  <si>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</si>
  <si>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</si>
  <si>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</si>
  <si>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</si>
  <si>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</si>
  <si>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</si>
  <si>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</si>
  <si>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</si>
  <si>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</si>
  <si>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</si>
  <si>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</si>
  <si>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</si>
  <si>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</si>
  <si>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</si>
  <si>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</si>
  <si>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</si>
  <si>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</si>
  <si>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</si>
  <si>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</si>
  <si>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</si>
  <si>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</si>
  <si>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</si>
  <si>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</si>
  <si>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</si>
  <si>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</si>
  <si>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</si>
  <si>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</si>
  <si>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</si>
  <si>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</si>
  <si>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</si>
  <si>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</si>
  <si>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</si>
  <si>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</si>
  <si>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</si>
  <si>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</si>
  <si>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</si>
  <si>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</si>
  <si>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</si>
  <si>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</si>
  <si>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</si>
  <si>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</si>
  <si>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</si>
  <si>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</si>
  <si>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</si>
  <si>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</si>
  <si>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</si>
  <si>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</si>
  <si>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</si>
  <si>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</si>
  <si>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</si>
  <si>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</si>
  <si>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</si>
  <si>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</si>
  <si>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</si>
  <si>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</si>
  <si>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</si>
  <si>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</si>
  <si>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</si>
  <si>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</si>
  <si>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</si>
  <si>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</si>
  <si>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</si>
  <si>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</si>
  <si>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</si>
  <si>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</si>
  <si>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</si>
  <si>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</si>
  <si>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</si>
  <si>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</si>
  <si>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</si>
  <si>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</si>
  <si>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</si>
  <si>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</si>
  <si>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</si>
  <si>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</si>
  <si>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</si>
  <si>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</si>
  <si>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</si>
  <si>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</si>
  <si>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</si>
  <si>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</si>
  <si>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</si>
  <si>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</si>
  <si>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</si>
  <si>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</si>
  <si>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</si>
  <si>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</si>
  <si>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</si>
  <si>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</si>
  <si>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</si>
  <si>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</si>
  <si>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</si>
  <si>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</si>
  <si>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</si>
  <si>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</si>
  <si>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</si>
  <si>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</si>
  <si>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</si>
  <si>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</si>
  <si>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</si>
  <si>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</si>
  <si>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</si>
  <si>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</si>
  <si>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</si>
  <si>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</si>
  <si>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</si>
  <si>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</si>
  <si>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</si>
  <si>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</si>
  <si>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</si>
  <si>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</si>
  <si>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</si>
  <si>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</si>
  <si>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</si>
  <si>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</si>
  <si>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</si>
  <si>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</si>
  <si>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</si>
  <si>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</si>
  <si>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</si>
  <si>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</si>
  <si>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</si>
  <si>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</si>
  <si>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</si>
  <si>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</si>
  <si>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</si>
  <si>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</si>
  <si>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</si>
  <si>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</si>
  <si>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</si>
  <si>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</si>
  <si>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</si>
  <si>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</si>
  <si>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</si>
  <si>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</si>
  <si>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</si>
  <si>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</si>
  <si>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</si>
  <si>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</si>
  <si>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</si>
  <si>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</si>
  <si>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</si>
  <si>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</si>
  <si>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</si>
  <si>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</si>
  <si>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</si>
  <si>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</si>
  <si>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</si>
  <si>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</si>
  <si>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</si>
  <si>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</si>
  <si>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</si>
  <si>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</si>
  <si>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</si>
  <si>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</si>
  <si>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</si>
  <si>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</si>
  <si>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</si>
  <si>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</si>
  <si>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</si>
  <si>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</si>
  <si>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</si>
  <si>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</si>
  <si>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</si>
  <si>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</si>
  <si>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</si>
  <si>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</si>
  <si>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</si>
  <si>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</si>
  <si>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</si>
  <si>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</si>
  <si>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</si>
  <si>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</si>
  <si>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</si>
  <si>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</si>
  <si>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</si>
  <si>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</si>
  <si>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</si>
  <si>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</si>
  <si>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</si>
  <si>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</si>
  <si>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</si>
  <si>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</si>
  <si>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</si>
  <si>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</si>
  <si>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</si>
  <si>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</si>
  <si>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</si>
  <si>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</si>
  <si>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</si>
  <si>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</si>
  <si>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</si>
  <si>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</si>
  <si>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</si>
  <si>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</si>
  <si>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</si>
  <si>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</si>
  <si>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</si>
  <si>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</si>
  <si>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</si>
  <si>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</si>
  <si>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</si>
  <si>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</si>
  <si>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</si>
  <si>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</si>
  <si>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</si>
  <si>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</si>
  <si>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</si>
  <si>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</si>
  <si>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</si>
  <si>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</si>
  <si>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</si>
  <si>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</si>
  <si>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</si>
  <si>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</si>
  <si>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</si>
  <si>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</si>
  <si>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</si>
  <si>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</si>
  <si>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</si>
  <si>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</si>
  <si>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</si>
  <si>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</si>
  <si>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</si>
  <si>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</si>
  <si>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</si>
  <si>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</si>
  <si>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</si>
  <si>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</si>
  <si>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</si>
  <si>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</si>
  <si>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</si>
  <si>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</si>
  <si>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</si>
  <si>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</si>
  <si>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</si>
  <si>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</si>
  <si>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</si>
  <si>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</si>
  <si>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</si>
  <si>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</si>
  <si>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</si>
  <si>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</si>
  <si>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</si>
  <si>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</si>
  <si>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</si>
  <si>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</si>
  <si>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</si>
  <si>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</si>
  <si>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</si>
  <si>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</si>
  <si>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</si>
  <si>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</si>
  <si>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</si>
  <si>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</si>
  <si>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</si>
  <si>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</si>
  <si>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</si>
  <si>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</si>
  <si>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</si>
  <si>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</si>
  <si>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</si>
  <si>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</si>
  <si>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</si>
  <si>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</si>
  <si>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</si>
  <si>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</si>
  <si>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</si>
  <si>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</si>
  <si>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</si>
  <si>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</si>
  <si>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</si>
  <si>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</si>
  <si>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</si>
  <si>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</si>
  <si>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</si>
  <si>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</si>
  <si>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</si>
  <si>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</si>
  <si>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</si>
  <si>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</si>
  <si>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</si>
  <si>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</si>
  <si>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</si>
  <si>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</si>
  <si>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</si>
  <si>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</si>
  <si>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</si>
  <si>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</si>
  <si>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</si>
  <si>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</si>
  <si>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</si>
  <si>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</si>
  <si>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</si>
  <si>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</si>
  <si>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</si>
  <si>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</si>
  <si>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</si>
  <si>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</si>
  <si>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</si>
  <si>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</si>
  <si>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</si>
  <si>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</si>
  <si>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</si>
  <si>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</si>
  <si>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</si>
  <si>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</si>
  <si>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</si>
  <si>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</si>
  <si>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</si>
  <si>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</si>
  <si>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</si>
  <si>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</si>
  <si>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</si>
  <si>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</si>
  <si>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</si>
  <si>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</si>
  <si>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</si>
  <si>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</si>
  <si>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</si>
  <si>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</si>
  <si>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</si>
  <si>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</si>
  <si>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</si>
  <si>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</si>
  <si>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</si>
  <si>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</si>
  <si>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</si>
  <si>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</si>
  <si>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</si>
  <si>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</si>
  <si>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</si>
  <si>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</si>
  <si>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</si>
  <si>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</si>
  <si>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</si>
  <si>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</si>
  <si>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</si>
  <si>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</si>
  <si>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</si>
  <si>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</si>
  <si>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</si>
  <si>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</si>
  <si>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</si>
  <si>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</si>
  <si>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</si>
  <si>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</si>
  <si>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</si>
  <si>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</si>
  <si>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</si>
  <si>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</si>
  <si>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</si>
  <si>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</si>
  <si>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</si>
  <si>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</si>
  <si>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</si>
  <si>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</si>
  <si>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</si>
  <si>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</si>
  <si>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</si>
  <si>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</si>
  <si>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</si>
  <si>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</si>
  <si>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</si>
  <si>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</si>
  <si>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</si>
  <si>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</si>
  <si>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</si>
  <si>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</si>
  <si>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</si>
  <si>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</si>
  <si>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</si>
  <si>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</si>
  <si>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</si>
  <si>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</si>
  <si>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</si>
  <si>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</si>
  <si>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</si>
  <si>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</si>
  <si>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</si>
  <si>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</si>
  <si>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</si>
  <si>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</si>
  <si>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</si>
  <si>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</si>
  <si>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</si>
  <si>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</si>
  <si>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</si>
  <si>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</si>
  <si>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</si>
  <si>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</si>
  <si>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</si>
  <si>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</si>
  <si>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</si>
  <si>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</si>
  <si>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</si>
  <si>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</si>
  <si>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</si>
  <si>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</si>
  <si>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</si>
  <si>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</si>
  <si>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</si>
  <si>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</si>
  <si>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</si>
  <si>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</si>
  <si>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</si>
  <si>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</si>
  <si>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</si>
  <si>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</si>
  <si>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</si>
  <si>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</si>
  <si>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</si>
  <si>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</si>
  <si>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</si>
  <si>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</si>
  <si>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</si>
  <si>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</si>
  <si>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</si>
  <si>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</si>
  <si>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</si>
  <si>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</si>
  <si>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</si>
  <si>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</si>
  <si>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</si>
  <si>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</si>
  <si>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</si>
  <si>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</si>
  <si>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</si>
  <si>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</si>
  <si>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</si>
  <si>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</si>
  <si>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</si>
  <si>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</si>
  <si>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</si>
  <si>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</si>
  <si>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</si>
  <si>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</si>
  <si>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</si>
  <si>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</si>
  <si>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</si>
  <si>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</si>
  <si>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</si>
  <si>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</si>
  <si>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</si>
  <si>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</si>
  <si>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</si>
  <si>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</si>
  <si>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</si>
  <si>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</si>
  <si>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</si>
  <si>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</si>
  <si>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</si>
  <si>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</si>
  <si>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</si>
  <si>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</si>
  <si>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</si>
  <si>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</si>
  <si>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</si>
  <si>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</si>
  <si>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</si>
  <si>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</si>
  <si>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</si>
  <si>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</si>
  <si>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</si>
  <si>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</si>
  <si>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</si>
  <si>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</si>
  <si>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</si>
  <si>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</si>
  <si>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</si>
  <si>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</si>
  <si>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</si>
  <si>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</si>
  <si>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</si>
  <si>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</si>
  <si>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</si>
  <si>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</si>
  <si>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</si>
  <si>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</si>
  <si>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</si>
  <si>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</si>
  <si>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</si>
  <si>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</si>
  <si>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</si>
  <si>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</si>
  <si>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</si>
  <si>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</si>
  <si>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</si>
  <si>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</si>
  <si>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</si>
  <si>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</si>
  <si>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</si>
  <si>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</si>
  <si>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</si>
  <si>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</si>
  <si>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</si>
  <si>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</si>
  <si>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</si>
  <si>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</si>
  <si>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</si>
  <si>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</si>
  <si>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</si>
  <si>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</si>
  <si>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</si>
  <si>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</si>
  <si>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</si>
  <si>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</si>
  <si>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</si>
  <si>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</si>
  <si>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</si>
  <si>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</si>
  <si>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</si>
  <si>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</si>
  <si>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</si>
  <si>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</si>
  <si>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</si>
  <si>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</si>
  <si>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</si>
  <si>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</si>
  <si>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</si>
  <si>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</si>
  <si>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</si>
  <si>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</si>
  <si>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</si>
  <si>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</si>
  <si>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</si>
  <si>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</si>
  <si>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</si>
  <si>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</si>
  <si>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</si>
  <si>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</si>
  <si>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</si>
  <si>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</si>
  <si>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</si>
  <si>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</si>
  <si>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</si>
  <si>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</si>
  <si>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</si>
  <si>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</si>
  <si>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</si>
  <si>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</si>
  <si>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</si>
  <si>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</si>
  <si>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</si>
  <si>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</si>
  <si>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</si>
  <si>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</si>
  <si>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</si>
  <si>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</si>
  <si>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</si>
  <si>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</si>
  <si>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</si>
  <si>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</si>
  <si>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</si>
  <si>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</si>
  <si>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</si>
  <si>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</si>
  <si>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</si>
  <si>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</si>
  <si>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</si>
  <si>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</si>
  <si>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</si>
  <si>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</si>
  <si>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</si>
  <si>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</si>
  <si>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</si>
  <si>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</si>
  <si>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</si>
  <si>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</si>
  <si>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</si>
  <si>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</si>
  <si>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</si>
  <si>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</si>
  <si>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</si>
  <si>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</si>
  <si>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</si>
  <si>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</si>
  <si>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</si>
  <si>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</si>
  <si>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</si>
  <si>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</si>
  <si>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</si>
  <si>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</si>
  <si>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</si>
  <si>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</si>
  <si>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</si>
  <si>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</si>
  <si>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</si>
  <si>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</si>
  <si>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</si>
  <si>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</si>
  <si>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</si>
  <si>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</si>
  <si>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</si>
  <si>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</si>
  <si>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</si>
  <si>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</si>
  <si>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</si>
  <si>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</si>
  <si>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</si>
  <si>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</si>
  <si>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</si>
  <si>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</si>
  <si>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</si>
  <si>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</si>
  <si>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</si>
  <si>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</si>
  <si>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</si>
  <si>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</si>
  <si>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</si>
  <si>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</si>
  <si>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</si>
  <si>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</si>
  <si>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</si>
  <si>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</si>
  <si>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</si>
  <si>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</si>
  <si>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</si>
  <si>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</si>
  <si>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</si>
  <si>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</si>
  <si>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</si>
  <si>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</si>
  <si>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</si>
  <si>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</si>
  <si>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</si>
  <si>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</si>
  <si>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</si>
  <si>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</si>
  <si>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</si>
  <si>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</si>
  <si>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</si>
  <si>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</si>
  <si>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</si>
  <si>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</si>
  <si>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</si>
  <si>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</si>
  <si>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</si>
  <si>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</si>
  <si>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</si>
  <si>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</si>
  <si>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</si>
  <si>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</si>
  <si>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</si>
  <si>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</si>
  <si>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</si>
  <si>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</si>
  <si>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</si>
  <si>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</si>
  <si>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</si>
  <si>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</si>
  <si>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</si>
  <si>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</si>
  <si>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</si>
  <si>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</si>
  <si>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</si>
  <si>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</si>
  <si>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</si>
  <si>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</si>
  <si>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</si>
  <si>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</si>
  <si>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</si>
  <si>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</si>
  <si>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</si>
  <si>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</si>
  <si>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</si>
  <si>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</si>
  <si>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</si>
  <si>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</si>
  <si>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</si>
  <si>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</si>
  <si>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</si>
  <si>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</si>
  <si>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</si>
  <si>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</si>
  <si>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</si>
  <si>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</si>
  <si>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</si>
  <si>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</si>
  <si>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</si>
  <si>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</si>
  <si>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</si>
  <si>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</si>
  <si>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</si>
  <si>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</si>
  <si>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</si>
  <si>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</si>
  <si>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</si>
  <si>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</si>
  <si>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</si>
  <si>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</si>
  <si>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</si>
  <si>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</si>
  <si>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</si>
  <si>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</si>
  <si>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</si>
  <si>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</si>
  <si>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</si>
  <si>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</si>
  <si>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</si>
  <si>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</si>
  <si>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</si>
  <si>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</si>
  <si>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</si>
  <si>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</si>
  <si>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</si>
  <si>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</si>
  <si>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</si>
  <si>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</si>
  <si>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</si>
  <si>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</si>
  <si>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</si>
  <si>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</si>
  <si>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</si>
  <si>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</si>
  <si>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</si>
  <si>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</si>
  <si>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</si>
  <si>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</si>
  <si>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</si>
  <si>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</si>
  <si>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</si>
  <si>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</si>
  <si>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</si>
  <si>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</si>
  <si>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</si>
  <si>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</si>
  <si>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</si>
  <si>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</si>
  <si>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</si>
  <si>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</si>
  <si>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</si>
  <si>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</si>
  <si>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</si>
  <si>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</si>
  <si>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</si>
  <si>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</si>
  <si>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</si>
  <si>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</si>
  <si>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</si>
  <si>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</si>
  <si>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</si>
  <si>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</si>
  <si>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</si>
  <si>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</si>
  <si>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</si>
  <si>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</si>
  <si>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</si>
  <si>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</si>
  <si>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</si>
  <si>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</si>
  <si>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</si>
  <si>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</si>
  <si>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</si>
  <si>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</si>
  <si>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</si>
  <si>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</si>
  <si>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</si>
  <si>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</si>
  <si>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</si>
  <si>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</si>
  <si>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</si>
  <si>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</si>
  <si>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</si>
  <si>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</si>
  <si>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</si>
  <si>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</si>
  <si>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</si>
  <si>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</si>
  <si>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</si>
  <si>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</si>
  <si>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</si>
  <si>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</si>
  <si>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</si>
  <si>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</si>
  <si>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</si>
  <si>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</si>
  <si>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</si>
  <si>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</si>
  <si>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</si>
  <si>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</si>
  <si>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</si>
  <si>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</si>
  <si>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</si>
  <si>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</si>
  <si>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</si>
  <si>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</si>
  <si>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</si>
  <si>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</si>
  <si>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</si>
  <si>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</si>
  <si>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</si>
  <si>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</si>
  <si>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</si>
  <si>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</si>
  <si>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</si>
  <si>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</si>
  <si>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</si>
  <si>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</si>
  <si>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</si>
  <si>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</si>
  <si>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</si>
  <si>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</si>
  <si>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</si>
  <si>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</si>
  <si>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</si>
  <si>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</si>
  <si>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</si>
  <si>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</si>
  <si>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</si>
  <si>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</si>
  <si>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</si>
  <si>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</si>
  <si>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</si>
  <si>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</si>
  <si>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</si>
  <si>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</si>
  <si>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</si>
  <si>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</si>
  <si>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</si>
  <si>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</si>
  <si>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</si>
  <si>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</si>
  <si>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</si>
  <si>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</si>
  <si>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</si>
  <si>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</si>
  <si>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</si>
  <si>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</si>
  <si>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</si>
  <si>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</si>
  <si>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</si>
  <si>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</si>
  <si>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</si>
  <si>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</si>
  <si>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</si>
  <si>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</si>
  <si>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</si>
  <si>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</si>
  <si>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</si>
  <si>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</si>
  <si>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</si>
  <si>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</si>
  <si>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</si>
  <si>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</si>
  <si>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</si>
  <si>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</si>
  <si>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</si>
  <si>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</si>
  <si>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</si>
  <si>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</si>
  <si>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</si>
  <si>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</si>
  <si>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</si>
  <si>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</si>
  <si>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</si>
  <si>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</si>
  <si>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</si>
  <si>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</si>
  <si>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</si>
  <si>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</si>
  <si>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</si>
  <si>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</si>
  <si>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</si>
  <si>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</si>
  <si>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</si>
  <si>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</si>
  <si>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</si>
  <si>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</si>
  <si>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</si>
  <si>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</si>
  <si>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</si>
  <si>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</si>
  <si>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</si>
  <si>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</si>
  <si>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</si>
  <si>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</si>
  <si>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</si>
  <si>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</si>
  <si>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</si>
  <si>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</si>
  <si>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</si>
  <si>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</si>
  <si>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</si>
  <si>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</si>
  <si>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</si>
  <si>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</si>
  <si>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</si>
  <si>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</si>
  <si>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</si>
  <si>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</si>
  <si>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</si>
  <si>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</si>
  <si>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</si>
  <si>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</si>
  <si>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</si>
  <si>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</si>
  <si>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</si>
  <si>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</si>
  <si>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</si>
  <si>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</si>
  <si>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</si>
  <si>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</si>
  <si>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</si>
  <si>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</si>
  <si>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</si>
  <si>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</si>
  <si>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</si>
  <si>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</si>
  <si>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</si>
  <si>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</si>
  <si>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</si>
  <si>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</si>
  <si>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</si>
  <si>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</si>
  <si>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</si>
  <si>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</si>
  <si>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</si>
  <si>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</si>
  <si>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</si>
  <si>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</si>
  <si>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</si>
  <si>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</si>
  <si>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</si>
  <si>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</si>
  <si>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</si>
  <si>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</si>
  <si>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</si>
  <si>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</si>
  <si>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</si>
  <si>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</si>
  <si>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</si>
  <si>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</si>
  <si>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</si>
  <si>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</si>
  <si>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</si>
  <si>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</si>
  <si>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</si>
  <si>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</si>
  <si>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</si>
  <si>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</si>
  <si>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</si>
  <si>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</si>
  <si>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</si>
  <si>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</si>
  <si>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</si>
  <si>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</si>
  <si>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</si>
  <si>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</si>
  <si>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</si>
  <si>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</si>
  <si>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</si>
  <si>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</si>
  <si>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</si>
  <si>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</si>
  <si>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</si>
  <si>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</si>
  <si>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</si>
  <si>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</si>
  <si>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</si>
  <si>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</si>
  <si>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</si>
  <si>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</si>
  <si>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</si>
  <si>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</si>
  <si>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</si>
  <si>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</si>
  <si>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</si>
  <si>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</si>
  <si>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</si>
  <si>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</si>
  <si>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</si>
  <si>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</si>
  <si>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</si>
  <si>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</si>
  <si>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</si>
  <si>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</si>
  <si>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</si>
  <si>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</si>
  <si>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</si>
  <si>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</si>
  <si>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</si>
  <si>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</si>
  <si>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</si>
  <si>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</si>
  <si>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</si>
  <si>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</si>
  <si>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</si>
  <si>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</si>
  <si>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</si>
  <si>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</si>
  <si>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</si>
  <si>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</si>
  <si>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</si>
  <si>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</si>
  <si>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</si>
  <si>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</si>
  <si>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</si>
  <si>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</si>
  <si>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</si>
  <si>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</si>
  <si>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</si>
  <si>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</si>
  <si>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</si>
  <si>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</si>
  <si>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</si>
  <si>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</si>
  <si>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</si>
  <si>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</si>
  <si>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</si>
  <si>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</si>
  <si>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</si>
  <si>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</si>
  <si>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</si>
  <si>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</si>
  <si>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</si>
  <si>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</si>
  <si>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</si>
  <si>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</si>
  <si>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</si>
  <si>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</si>
  <si>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</si>
  <si>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</si>
  <si>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</si>
  <si>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</si>
  <si>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</si>
  <si>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</si>
  <si>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</si>
  <si>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</si>
  <si>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</si>
  <si>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</si>
  <si>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</si>
  <si>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</si>
  <si>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</si>
  <si>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</si>
  <si>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</si>
  <si>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</si>
  <si>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</si>
  <si>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</si>
  <si>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</si>
  <si>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</si>
  <si>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</si>
  <si>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</si>
  <si>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</si>
  <si>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</si>
  <si>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</si>
  <si>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</si>
  <si>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</si>
  <si>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</si>
  <si>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</si>
  <si>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</si>
  <si>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</si>
  <si>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</si>
  <si>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</si>
  <si>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</si>
  <si>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</si>
  <si>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</si>
  <si>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</si>
  <si>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</si>
  <si>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</si>
  <si>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</si>
  <si>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</si>
  <si>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</si>
  <si>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</si>
  <si>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</si>
  <si>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</si>
  <si>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</si>
  <si>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</si>
  <si>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</si>
  <si>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</si>
  <si>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</si>
  <si>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</si>
  <si>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</si>
  <si>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</si>
  <si>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</si>
  <si>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</si>
  <si>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</si>
  <si>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</si>
  <si>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</si>
  <si>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</si>
  <si>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</si>
  <si>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</si>
  <si>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</si>
  <si>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</si>
  <si>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</si>
  <si>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</si>
  <si>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</si>
  <si>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</si>
  <si>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</si>
  <si>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</si>
  <si>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</si>
  <si>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</si>
  <si>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</si>
  <si>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</si>
  <si>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</si>
  <si>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</si>
  <si>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</si>
  <si>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</si>
  <si>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</si>
  <si>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</si>
  <si>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</si>
  <si>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</si>
  <si>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</si>
  <si>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</si>
  <si>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</si>
  <si>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</si>
  <si>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</si>
  <si>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</si>
  <si>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</si>
  <si>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</si>
  <si>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</si>
  <si>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</si>
  <si>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</si>
  <si>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</si>
  <si>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</si>
  <si>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</si>
  <si>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</si>
  <si>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</si>
  <si>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</si>
  <si>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</si>
  <si>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</si>
  <si>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</si>
  <si>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</si>
  <si>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</si>
  <si>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</si>
  <si>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</si>
  <si>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</si>
  <si>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</si>
  <si>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</si>
  <si>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</si>
  <si>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</si>
  <si>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</si>
  <si>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</si>
  <si>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</si>
  <si>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</si>
  <si>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</si>
  <si>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</si>
  <si>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</si>
  <si>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</si>
  <si>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</si>
  <si>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</si>
  <si>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</si>
  <si>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</si>
  <si>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</si>
  <si>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</si>
  <si>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</si>
  <si>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</si>
  <si>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</si>
  <si>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</si>
  <si>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</si>
  <si>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</si>
  <si>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</si>
  <si>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</si>
  <si>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</si>
  <si>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</si>
  <si>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</si>
  <si>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</si>
  <si>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</si>
  <si>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</si>
  <si>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</si>
  <si>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</si>
  <si>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</si>
  <si>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</si>
  <si>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</si>
  <si>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</si>
  <si>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</si>
  <si>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</si>
  <si>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</si>
  <si>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</si>
  <si>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</si>
  <si>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</si>
  <si>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</si>
  <si>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</si>
  <si>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</si>
  <si>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</si>
  <si>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</si>
  <si>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</si>
  <si>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</si>
  <si>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</si>
  <si>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</si>
  <si>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</si>
  <si>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</si>
  <si>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</si>
  <si>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</si>
  <si>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</si>
  <si>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</si>
  <si>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</si>
  <si>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</si>
  <si>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</si>
  <si>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</si>
  <si>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</si>
  <si>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</si>
  <si>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</si>
  <si>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</si>
  <si>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</si>
  <si>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</si>
  <si>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</si>
  <si>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</si>
  <si>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</si>
  <si>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</si>
  <si>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</si>
  <si>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</si>
  <si>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</si>
  <si>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</si>
  <si>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</si>
  <si>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</si>
  <si>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</si>
  <si>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</si>
  <si>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</si>
  <si>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</si>
  <si>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</si>
  <si>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</si>
  <si>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</si>
  <si>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</si>
  <si>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</si>
  <si>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</si>
  <si>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</si>
  <si>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</si>
  <si>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</si>
  <si>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</si>
  <si>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</si>
  <si>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</si>
  <si>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</si>
  <si>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>ORGANISMO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</si>
  <si>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</si>
  <si>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</si>
  <si>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</si>
  <si>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</si>
  <si>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</si>
  <si>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</si>
  <si>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</si>
  <si>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</si>
  <si>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</si>
  <si>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</si>
  <si>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</si>
  <si>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</si>
  <si>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</si>
  <si>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</si>
  <si>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</si>
  <si>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</si>
  <si>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</si>
  <si>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</si>
  <si>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NO APLICA</t>
  </si>
  <si>
    <t>31120-8201  ADMINISTRACION</t>
  </si>
  <si>
    <t>31120-8202  CADI ESTANCIA INFANTIL</t>
  </si>
  <si>
    <t>31120-8203  CEMAIV</t>
  </si>
  <si>
    <t>31120-8204  ALIMENTARIO</t>
  </si>
  <si>
    <t>31120-8206  REHABILITACIÓN</t>
  </si>
  <si>
    <t>31120-8209  ADULTO MAYOR</t>
  </si>
  <si>
    <t>31120-8210  TRABAJO SOCIAL</t>
  </si>
  <si>
    <t>31120-8211  SERVICIOS</t>
  </si>
  <si>
    <t>31120-8212  EDUCADORAS COMUNITARIAS</t>
  </si>
  <si>
    <t>31120-8213  JURIDICO</t>
  </si>
  <si>
    <t>31120-8214  PROCURADURIA</t>
  </si>
  <si>
    <t>31120-8215  DESARROLLO FAMILIAR Y COMUNITARIO</t>
  </si>
  <si>
    <t>31120-8217  ATENCION A NIÑOS JOVENES VULNERABLES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</si>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</sst>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6">
    <xf numFmtId="0" fontId="0" fillId="0" borderId="0"/>
    <xf numFmtId="43" fontId="15" fillId="0" borderId="0" applyFont="0" applyFill="0" applyBorder="0" applyAlignment="0" applyProtection="0"/>
    <xf numFmtId="0" fontId="15" fillId="0" borderId="0"/>
    <xf numFmtId="0" fontId="18" fillId="0" borderId="0"/>
    <xf numFmtId="0" fontId="17" fillId="0" borderId="0"/>
    <xf numFmtId="43" fontId="15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" fontId="17" fillId="0" borderId="13" xfId="2" applyNumberFormat="1" applyFont="1" applyFill="1" applyBorder="1" applyAlignment="1" applyProtection="1">
      <alignment vertical="top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5" applyFont="1" applyFill="1" applyBorder="1" applyAlignment="1" applyProtection="1">
      <alignment vertical="center"/>
      <protection locked="0"/>
    </xf>
    <xf numFmtId="43" fontId="15" fillId="4" borderId="13" xfId="5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0" applyNumberFormat="1" applyFill="1" applyBorder="1" applyAlignment="1" applyProtection="1">
      <alignment vertical="center"/>
      <protection locked="0"/>
    </xf>
    <xf numFmtId="43" fontId="0" fillId="4" borderId="13" xfId="0" applyNumberFormat="1" applyFill="1" applyBorder="1" applyAlignment="1" applyProtection="1">
      <alignment vertical="center"/>
      <protection locked="0"/>
    </xf>
    <xf numFmtId="43" fontId="0" fillId="4" borderId="13" xfId="5" applyFont="1" applyFill="1" applyBorder="1" applyAlignment="1" applyProtection="1">
      <alignment vertical="center"/>
      <protection locked="0"/>
    </xf>
    <xf numFmtId="43" fontId="15" fillId="4" borderId="13" xfId="5" applyFont="1" applyFill="1" applyBorder="1" applyAlignment="1" applyProtection="1">
      <alignment vertical="center"/>
      <protection locked="0"/>
    </xf>
    <xf numFmtId="43" fontId="15" fillId="4" borderId="13" xfId="5" applyFont="1" applyFill="1" applyBorder="1" applyAlignment="1" applyProtection="1">
      <alignment vertical="center"/>
      <protection locked="0"/>
    </xf>
    <xf numFmtId="43" fontId="0" fillId="4" borderId="13" xfId="5" applyFont="1" applyFill="1" applyBorder="1" applyAlignment="1" applyProtection="1">
      <alignment vertical="center"/>
      <protection locked="0"/>
    </xf>
    <xf numFmtId="43" fontId="15" fillId="4" borderId="13" xfId="5" applyFont="1" applyFill="1" applyBorder="1" applyAlignment="1" applyProtection="1">
      <alignment vertical="center"/>
      <protection locked="0"/>
    </xf>
    <xf numFmtId="43" fontId="0" fillId="4" borderId="13" xfId="5" applyFont="1" applyFill="1" applyBorder="1" applyAlignment="1" applyProtection="1">
      <alignment vertical="center"/>
      <protection locked="0"/>
    </xf>
    <xf numFmtId="43" fontId="15" fillId="4" borderId="13" xfId="5" applyFont="1" applyFill="1" applyBorder="1" applyAlignment="1" applyProtection="1">
      <alignment vertical="center"/>
      <protection locked="0"/>
    </xf>
    <xf numFmtId="43" fontId="0" fillId="4" borderId="13" xfId="5" applyFont="1" applyFill="1" applyBorder="1" applyAlignment="1" applyProtection="1">
      <alignment vertical="center"/>
      <protection locked="0"/>
    </xf>
    <xf numFmtId="43" fontId="15" fillId="4" borderId="13" xfId="5" applyFont="1" applyFill="1" applyBorder="1" applyAlignment="1" applyProtection="1">
      <alignment vertical="center"/>
      <protection locked="0"/>
    </xf>
    <xf numFmtId="43" fontId="15" fillId="4" borderId="13" xfId="5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" fontId="17" fillId="0" borderId="13" xfId="0" applyNumberFormat="1" applyFont="1" applyBorder="1" applyAlignment="1" applyProtection="1">
      <alignment vertical="center"/>
      <protection locked="0"/>
    </xf>
    <xf numFmtId="4" fontId="1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" fontId="17" fillId="0" borderId="0" xfId="0" applyNumberFormat="1" applyFont="1" applyProtection="1">
      <protection locked="0"/>
    </xf>
    <xf numFmtId="4" fontId="16" fillId="0" borderId="0" xfId="5" applyNumberFormat="1" applyFont="1" applyFill="1" applyBorder="1" applyAlignment="1" applyProtection="1">
      <alignment vertical="top" wrapText="1"/>
      <protection locked="0"/>
    </xf>
    <xf numFmtId="4" fontId="0" fillId="0" borderId="1" xfId="0" applyNumberFormat="1" applyBorder="1" applyProtection="1"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6">
    <cellStyle name="Millares" xfId="1" builtinId="3"/>
    <cellStyle name="Millares 2" xfId="5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133350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133350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133350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133350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81" t="s">
        <v>829</v>
      </c>
      <c r="B1" s="182"/>
      <c r="C1" s="182"/>
      <c r="D1" s="182"/>
      <c r="E1" s="183"/>
    </row>
    <row r="2" spans="1:5" s="7" customFormat="1" ht="14.25" x14ac:dyDescent="0.45">
      <c r="A2" s="25"/>
      <c r="E2" s="26"/>
    </row>
    <row r="3" spans="1:5" s="7" customFormat="1" ht="26.45" customHeight="1" x14ac:dyDescent="0.25">
      <c r="A3" s="25"/>
      <c r="B3" s="30" t="s">
        <v>792</v>
      </c>
      <c r="C3" s="184" t="s">
        <v>3284</v>
      </c>
      <c r="D3" s="184"/>
      <c r="E3" s="26"/>
    </row>
    <row r="4" spans="1:5" s="7" customFormat="1" ht="14.25" x14ac:dyDescent="0.45">
      <c r="A4" s="25"/>
      <c r="E4" s="26"/>
    </row>
    <row r="5" spans="1:5" s="7" customFormat="1" ht="26.4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4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4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4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10" workbookViewId="0">
      <selection activeCell="D10" sqref="D10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97" t="s">
        <v>542</v>
      </c>
      <c r="B1" s="197"/>
      <c r="C1" s="197"/>
      <c r="D1" s="197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85" t="str">
        <f>ENTE_PUBLICO_A</f>
        <v>ORGANISMO, Gobierno del Estado de Guanajuato (a)</v>
      </c>
      <c r="B2" s="186"/>
      <c r="C2" s="186"/>
      <c r="D2" s="187"/>
    </row>
    <row r="3" spans="1:11" ht="14.25" x14ac:dyDescent="0.45">
      <c r="A3" s="188" t="s">
        <v>166</v>
      </c>
      <c r="B3" s="189"/>
      <c r="C3" s="189"/>
      <c r="D3" s="190"/>
    </row>
    <row r="4" spans="1:11" ht="14.25" x14ac:dyDescent="0.45">
      <c r="A4" s="191" t="str">
        <f>TRIMESTRE</f>
        <v>Del 1 de enero al 31 de diciembre de 2019 (b)</v>
      </c>
      <c r="B4" s="192"/>
      <c r="C4" s="192"/>
      <c r="D4" s="193"/>
    </row>
    <row r="5" spans="1:11" ht="14.25" x14ac:dyDescent="0.45">
      <c r="A5" s="194" t="s">
        <v>118</v>
      </c>
      <c r="B5" s="195"/>
      <c r="C5" s="195"/>
      <c r="D5" s="196"/>
    </row>
    <row r="6" spans="1:11" ht="14.25" x14ac:dyDescent="0.45"/>
    <row r="7" spans="1:11" ht="39.200000000000003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31830196</v>
      </c>
      <c r="C8" s="40">
        <f t="shared" ref="C8" si="0">SUM(C9:C11)</f>
        <v>0</v>
      </c>
      <c r="D8" s="40">
        <f>SUM(D9:D11)</f>
        <v>47443462.359999999</v>
      </c>
    </row>
    <row r="9" spans="1:11" x14ac:dyDescent="0.25">
      <c r="A9" s="53" t="s">
        <v>169</v>
      </c>
      <c r="B9" s="23">
        <v>31830196</v>
      </c>
      <c r="C9" s="23">
        <v>0</v>
      </c>
      <c r="D9" s="23">
        <f>41369146.23+1076271.13-564.02-1955</f>
        <v>42442898.339999996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5000564.0199999996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0</v>
      </c>
      <c r="C13" s="40">
        <f>C14+C15</f>
        <v>0</v>
      </c>
      <c r="D13" s="40">
        <f>D14+D15</f>
        <v>37525273.939999998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37525273.939999998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2964903.04</v>
      </c>
      <c r="D17" s="40">
        <f>D18+D19</f>
        <v>2964903.04</v>
      </c>
    </row>
    <row r="18" spans="1:4" x14ac:dyDescent="0.25">
      <c r="A18" s="53" t="s">
        <v>175</v>
      </c>
      <c r="B18" s="119">
        <v>0</v>
      </c>
      <c r="C18" s="177">
        <v>2964903.04</v>
      </c>
      <c r="D18" s="177">
        <v>2964903.04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31830196</v>
      </c>
      <c r="C21" s="40">
        <f>C8-C13+C17</f>
        <v>2964903.04</v>
      </c>
      <c r="D21" s="40">
        <f>D8-D13+D17</f>
        <v>12883091.460000001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31830196</v>
      </c>
      <c r="C23" s="40">
        <f>C21-C11</f>
        <v>2964903.04</v>
      </c>
      <c r="D23" s="40">
        <f t="shared" ref="D23" si="3">D21-D11</f>
        <v>12883091.460000001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31830196</v>
      </c>
      <c r="C25" s="40">
        <f>C23-C17</f>
        <v>0</v>
      </c>
      <c r="D25" s="40">
        <f>D23-D17</f>
        <v>9918188.4200000018</v>
      </c>
    </row>
    <row r="26" spans="1:4" ht="14.25" x14ac:dyDescent="0.25">
      <c r="A26" s="121"/>
      <c r="B26" s="13"/>
      <c r="C26" s="13"/>
      <c r="D26" s="13"/>
    </row>
    <row r="27" spans="1:4" ht="14.25" x14ac:dyDescent="0.25">
      <c r="A27" s="90"/>
    </row>
    <row r="28" spans="1:4" ht="30.2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25">
      <c r="A29" s="55" t="s">
        <v>186</v>
      </c>
      <c r="B29" s="61">
        <f>B30+B31</f>
        <v>0</v>
      </c>
      <c r="C29" s="61">
        <f t="shared" ref="C29:D29" si="4">C30+C31</f>
        <v>0</v>
      </c>
      <c r="D29" s="61">
        <f t="shared" si="4"/>
        <v>0</v>
      </c>
    </row>
    <row r="30" spans="1:4" ht="14.25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ht="14.25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ht="14.25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31830196</v>
      </c>
      <c r="C33" s="61">
        <f t="shared" ref="C33" si="5">C25+C29</f>
        <v>0</v>
      </c>
      <c r="D33" s="61">
        <f>D25+D29</f>
        <v>9918188.4200000018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.2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ht="14.25" x14ac:dyDescent="0.25">
      <c r="A37" s="55" t="s">
        <v>191</v>
      </c>
      <c r="B37" s="61">
        <f>B38+B39</f>
        <v>0</v>
      </c>
      <c r="C37" s="61">
        <f t="shared" ref="C37:D37" si="6">C38+C39</f>
        <v>0</v>
      </c>
      <c r="D37" s="61">
        <f t="shared" si="6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ht="14.25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7">C41+C42</f>
        <v>0</v>
      </c>
      <c r="D40" s="61">
        <f t="shared" si="7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ht="14.25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8">C37-C40</f>
        <v>0</v>
      </c>
      <c r="D44" s="61">
        <f t="shared" si="8"/>
        <v>0</v>
      </c>
    </row>
    <row r="45" spans="1:4" ht="14.25" x14ac:dyDescent="0.25">
      <c r="A45" s="143"/>
      <c r="B45" s="58"/>
      <c r="C45" s="58"/>
      <c r="D45" s="58"/>
    </row>
    <row r="46" spans="1:4" ht="14.25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31830196</v>
      </c>
      <c r="C48" s="124">
        <f>C9</f>
        <v>0</v>
      </c>
      <c r="D48" s="124">
        <f t="shared" ref="D48" si="9">D9</f>
        <v>42442898.339999996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0">C50-C51</f>
        <v>0</v>
      </c>
      <c r="D49" s="61">
        <f t="shared" si="10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v>0</v>
      </c>
      <c r="D53" s="60"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1">C18</f>
        <v>2964903.04</v>
      </c>
      <c r="D55" s="60">
        <f t="shared" si="11"/>
        <v>2964903.04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31830196</v>
      </c>
      <c r="C57" s="61">
        <f>C48+C49-C53+C55</f>
        <v>2964903.04</v>
      </c>
      <c r="D57" s="61">
        <f t="shared" ref="D57" si="12">D48+D49-D53+D55</f>
        <v>45407801.379999995</v>
      </c>
    </row>
    <row r="58" spans="1:4" x14ac:dyDescent="0.25">
      <c r="A58" s="62"/>
      <c r="B58" s="62"/>
      <c r="C58" s="62"/>
      <c r="D58" s="62"/>
    </row>
    <row r="59" spans="1:4" ht="30.2" customHeight="1" x14ac:dyDescent="0.25">
      <c r="A59" s="120" t="s">
        <v>200</v>
      </c>
      <c r="B59" s="61">
        <f>B57-B49</f>
        <v>31830196</v>
      </c>
      <c r="C59" s="61">
        <f t="shared" ref="C59:D59" si="13">C57-C49</f>
        <v>2964903.04</v>
      </c>
      <c r="D59" s="61">
        <f t="shared" si="13"/>
        <v>45407801.379999995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4">C10</f>
        <v>0</v>
      </c>
      <c r="D63" s="122">
        <f t="shared" si="14"/>
        <v>5000564.0199999996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5">C65-C66</f>
        <v>0</v>
      </c>
      <c r="D64" s="40">
        <f t="shared" si="15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v>0</v>
      </c>
      <c r="D68" s="23"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6">C19</f>
        <v>0</v>
      </c>
      <c r="D70" s="23">
        <f t="shared" si="16"/>
        <v>0</v>
      </c>
    </row>
    <row r="71" spans="1:4" x14ac:dyDescent="0.25">
      <c r="A71" s="54"/>
      <c r="B71" s="12"/>
      <c r="C71" s="12"/>
      <c r="D71" s="12"/>
    </row>
    <row r="72" spans="1:4" ht="30.2" customHeight="1" x14ac:dyDescent="0.25">
      <c r="A72" s="120" t="s">
        <v>205</v>
      </c>
      <c r="B72" s="40">
        <f>B63+B64-B68+B70</f>
        <v>0</v>
      </c>
      <c r="C72" s="40">
        <f t="shared" ref="C72:D72" si="17">C63+C64-C68+C70</f>
        <v>0</v>
      </c>
      <c r="D72" s="40">
        <f t="shared" si="17"/>
        <v>5000564.0199999996</v>
      </c>
    </row>
    <row r="73" spans="1:4" x14ac:dyDescent="0.25">
      <c r="A73" s="54"/>
      <c r="B73" s="12"/>
      <c r="C73" s="12"/>
      <c r="D73" s="12"/>
    </row>
    <row r="74" spans="1:4" ht="30.2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18">D72-D64</f>
        <v>5000564.0199999996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31830196</v>
      </c>
      <c r="Q2" s="18">
        <f>'Formato 4'!C8</f>
        <v>0</v>
      </c>
      <c r="R2" s="18">
        <f>'Formato 4'!D8</f>
        <v>47443462.359999999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31830196</v>
      </c>
      <c r="Q3" s="18">
        <f>'Formato 4'!C9</f>
        <v>0</v>
      </c>
      <c r="R3" s="18">
        <f>'Formato 4'!D9</f>
        <v>42442898.339999996</v>
      </c>
      <c r="S3" s="18"/>
      <c r="T3" s="18"/>
      <c r="U3" s="18"/>
      <c r="V3" s="18"/>
    </row>
    <row r="4" spans="1: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5000564.0199999996</v>
      </c>
      <c r="S4" s="18"/>
      <c r="T4" s="18"/>
      <c r="U4" s="18"/>
      <c r="V4" s="18"/>
    </row>
    <row r="5" spans="1: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0</v>
      </c>
      <c r="Q6" s="18">
        <f>'Formato 4'!C13</f>
        <v>0</v>
      </c>
      <c r="R6" s="18">
        <f>'Formato 4'!D13</f>
        <v>37525273.939999998</v>
      </c>
      <c r="S6" s="18"/>
      <c r="T6" s="18"/>
      <c r="U6" s="18"/>
      <c r="V6" s="18"/>
      <c r="W6" s="18"/>
      <c r="X6" s="18"/>
      <c r="Y6" s="18"/>
    </row>
    <row r="7" spans="1: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37525273.939999998</v>
      </c>
    </row>
    <row r="8" spans="1: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2964903.04</v>
      </c>
      <c r="R9" s="18">
        <f>'Formato 4'!D17</f>
        <v>2964903.04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2964903.04</v>
      </c>
      <c r="R10" s="18">
        <f>'Formato 4'!D18</f>
        <v>2964903.04</v>
      </c>
    </row>
    <row r="11" spans="1: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31830196</v>
      </c>
      <c r="Q12" s="18">
        <f>'Formato 4'!C21</f>
        <v>2964903.04</v>
      </c>
      <c r="R12" s="18">
        <f>'Formato 4'!D21</f>
        <v>12883091.460000001</v>
      </c>
    </row>
    <row r="13" spans="1: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31830196</v>
      </c>
      <c r="Q13" s="18">
        <f>'Formato 4'!C23</f>
        <v>2964903.04</v>
      </c>
      <c r="R13" s="18">
        <f>'Formato 4'!D23</f>
        <v>12883091.460000001</v>
      </c>
    </row>
    <row r="14" spans="1: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31830196</v>
      </c>
      <c r="Q14" s="18">
        <f>'Formato 4'!C25</f>
        <v>0</v>
      </c>
      <c r="R14" s="18">
        <f>'Formato 4'!D25</f>
        <v>9918188.4200000018</v>
      </c>
    </row>
    <row r="15" spans="1: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31830196</v>
      </c>
      <c r="Q18">
        <f>'Formato 4'!C33</f>
        <v>0</v>
      </c>
      <c r="R18">
        <f>'Formato 4'!D33</f>
        <v>9918188.4200000018</v>
      </c>
    </row>
    <row r="19" spans="1:18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31830196</v>
      </c>
      <c r="Q26">
        <f>'Formato 4'!C48</f>
        <v>0</v>
      </c>
      <c r="R26">
        <f>'Formato 4'!D48</f>
        <v>42442898.339999996</v>
      </c>
    </row>
    <row r="27" spans="1:18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2964903.04</v>
      </c>
      <c r="R31">
        <f>'Formato 4'!D55</f>
        <v>2964903.04</v>
      </c>
    </row>
    <row r="32" spans="1:18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5000564.0199999996</v>
      </c>
    </row>
    <row r="33" spans="1:18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5000564.0199999996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5000564.0199999996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F43" sqref="F43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03" t="s">
        <v>206</v>
      </c>
      <c r="B1" s="203"/>
      <c r="C1" s="203"/>
      <c r="D1" s="203"/>
      <c r="E1" s="203"/>
      <c r="F1" s="203"/>
      <c r="G1" s="203"/>
    </row>
    <row r="2" spans="1:8" ht="14.25" x14ac:dyDescent="0.45">
      <c r="A2" s="185" t="str">
        <f>ENTE_PUBLICO_A</f>
        <v>ORGANISMO, Gobierno del Estado de Guanajuato (a)</v>
      </c>
      <c r="B2" s="186"/>
      <c r="C2" s="186"/>
      <c r="D2" s="186"/>
      <c r="E2" s="186"/>
      <c r="F2" s="186"/>
      <c r="G2" s="187"/>
    </row>
    <row r="3" spans="1:8" x14ac:dyDescent="0.25">
      <c r="A3" s="188" t="s">
        <v>207</v>
      </c>
      <c r="B3" s="189"/>
      <c r="C3" s="189"/>
      <c r="D3" s="189"/>
      <c r="E3" s="189"/>
      <c r="F3" s="189"/>
      <c r="G3" s="190"/>
    </row>
    <row r="4" spans="1:8" ht="14.25" x14ac:dyDescent="0.45">
      <c r="A4" s="191" t="str">
        <f>TRIMESTRE</f>
        <v>Del 1 de enero al 31 de diciembre de 2019 (b)</v>
      </c>
      <c r="B4" s="192"/>
      <c r="C4" s="192"/>
      <c r="D4" s="192"/>
      <c r="E4" s="192"/>
      <c r="F4" s="192"/>
      <c r="G4" s="193"/>
    </row>
    <row r="5" spans="1:8" ht="14.25" x14ac:dyDescent="0.45">
      <c r="A5" s="194" t="s">
        <v>118</v>
      </c>
      <c r="B5" s="195"/>
      <c r="C5" s="195"/>
      <c r="D5" s="195"/>
      <c r="E5" s="195"/>
      <c r="F5" s="195"/>
      <c r="G5" s="196"/>
    </row>
    <row r="6" spans="1:8" x14ac:dyDescent="0.25">
      <c r="A6" s="200" t="s">
        <v>214</v>
      </c>
      <c r="B6" s="202" t="s">
        <v>208</v>
      </c>
      <c r="C6" s="202"/>
      <c r="D6" s="202"/>
      <c r="E6" s="202"/>
      <c r="F6" s="202"/>
      <c r="G6" s="202" t="s">
        <v>209</v>
      </c>
    </row>
    <row r="7" spans="1:8" ht="30" x14ac:dyDescent="0.25">
      <c r="A7" s="201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02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f>+B9+C9</f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f t="shared" ref="D10:D14" si="0">+B10+C10</f>
        <v>0</v>
      </c>
      <c r="E10" s="60">
        <v>0</v>
      </c>
      <c r="F10" s="60">
        <v>0</v>
      </c>
      <c r="G10" s="60">
        <f t="shared" ref="G10:G14" si="1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f t="shared" si="0"/>
        <v>0</v>
      </c>
      <c r="E11" s="60">
        <v>0</v>
      </c>
      <c r="F11" s="60">
        <v>0</v>
      </c>
      <c r="G11" s="60">
        <f t="shared" si="1"/>
        <v>0</v>
      </c>
    </row>
    <row r="12" spans="1:8" x14ac:dyDescent="0.25">
      <c r="A12" s="53" t="s">
        <v>219</v>
      </c>
      <c r="B12" s="152">
        <v>60000</v>
      </c>
      <c r="C12" s="60">
        <v>0</v>
      </c>
      <c r="D12" s="60">
        <f t="shared" si="0"/>
        <v>60000</v>
      </c>
      <c r="E12" s="152">
        <v>491332.95</v>
      </c>
      <c r="F12" s="152">
        <v>491332.95</v>
      </c>
      <c r="G12" s="153">
        <f>F12-B12</f>
        <v>431332.95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f t="shared" si="0"/>
        <v>0</v>
      </c>
      <c r="E13" s="60">
        <v>0</v>
      </c>
      <c r="F13" s="60">
        <v>0</v>
      </c>
      <c r="G13" s="60">
        <f t="shared" si="1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f t="shared" si="0"/>
        <v>0</v>
      </c>
      <c r="E14" s="60">
        <v>0</v>
      </c>
      <c r="F14" s="60">
        <v>0</v>
      </c>
      <c r="G14" s="60">
        <f t="shared" si="1"/>
        <v>0</v>
      </c>
    </row>
    <row r="15" spans="1:8" x14ac:dyDescent="0.25">
      <c r="A15" s="53" t="s">
        <v>222</v>
      </c>
      <c r="B15" s="152">
        <f>3315000-60000</f>
        <v>3255000</v>
      </c>
      <c r="C15" s="152">
        <v>2022306.73</v>
      </c>
      <c r="D15" s="153">
        <f>+B15+C15</f>
        <v>5277306.7300000004</v>
      </c>
      <c r="E15" s="152">
        <v>10331544</v>
      </c>
      <c r="F15" s="152">
        <f>10331544-1955</f>
        <v>10329589</v>
      </c>
      <c r="G15" s="153">
        <f>F15-B15</f>
        <v>7074589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2">SUM(C17:C27)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3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3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3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3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3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3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3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3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3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3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4">SUM(C29:C33)</f>
        <v>0</v>
      </c>
      <c r="D28" s="60">
        <f t="shared" si="4"/>
        <v>0</v>
      </c>
      <c r="E28" s="60">
        <f t="shared" si="4"/>
        <v>0</v>
      </c>
      <c r="F28" s="60">
        <f t="shared" si="4"/>
        <v>0</v>
      </c>
      <c r="G28" s="60">
        <f t="shared" si="4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3" si="5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5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5"/>
        <v>0</v>
      </c>
    </row>
    <row r="34" spans="1:8" ht="14.25" x14ac:dyDescent="0.25">
      <c r="A34" s="53" t="s">
        <v>240</v>
      </c>
      <c r="B34" s="152">
        <v>27000000</v>
      </c>
      <c r="C34" s="152">
        <v>5405077.8600000003</v>
      </c>
      <c r="D34" s="153">
        <f>+B34+C34</f>
        <v>32405077.859999999</v>
      </c>
      <c r="E34" s="152">
        <v>30546269.280000001</v>
      </c>
      <c r="F34" s="152">
        <v>30546269.280000001</v>
      </c>
      <c r="G34" s="153">
        <f>F34-B34</f>
        <v>3546269.2800000012</v>
      </c>
    </row>
    <row r="35" spans="1:8" ht="14.25" x14ac:dyDescent="0.25">
      <c r="A35" s="53" t="s">
        <v>241</v>
      </c>
      <c r="B35" s="60">
        <f>B36</f>
        <v>1515196</v>
      </c>
      <c r="C35" s="60">
        <f t="shared" ref="C35:F35" si="6">C36</f>
        <v>2608240.0599999996</v>
      </c>
      <c r="D35" s="153">
        <f>+D36</f>
        <v>4123436.0599999996</v>
      </c>
      <c r="E35" s="153">
        <f>E36</f>
        <v>6076271.1299999999</v>
      </c>
      <c r="F35" s="60">
        <f t="shared" si="6"/>
        <v>6076271.1299999999</v>
      </c>
      <c r="G35" s="153">
        <f>G36</f>
        <v>4561075.13</v>
      </c>
    </row>
    <row r="36" spans="1:8" ht="14.25" x14ac:dyDescent="0.25">
      <c r="A36" s="63" t="s">
        <v>242</v>
      </c>
      <c r="B36" s="152">
        <v>1515196</v>
      </c>
      <c r="C36" s="152">
        <f>5573143.1-2964903.04</f>
        <v>2608240.0599999996</v>
      </c>
      <c r="D36" s="153">
        <f>+C36+B36</f>
        <v>4123436.0599999996</v>
      </c>
      <c r="E36" s="152">
        <v>6076271.1299999999</v>
      </c>
      <c r="F36" s="152">
        <v>6076271.1299999999</v>
      </c>
      <c r="G36" s="153">
        <f>F36-B36</f>
        <v>4561075.13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7">C38+C39</f>
        <v>2964903.04</v>
      </c>
      <c r="D37" s="60">
        <f t="shared" si="7"/>
        <v>2964903.04</v>
      </c>
      <c r="E37" s="60">
        <f t="shared" si="7"/>
        <v>0</v>
      </c>
      <c r="F37" s="60">
        <f t="shared" si="7"/>
        <v>0</v>
      </c>
      <c r="G37" s="60">
        <f t="shared" si="7"/>
        <v>0</v>
      </c>
    </row>
    <row r="38" spans="1:8" ht="14.25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2964903.04</v>
      </c>
      <c r="D39" s="60">
        <f>+B39+C39</f>
        <v>2964903.04</v>
      </c>
      <c r="E39" s="60">
        <v>0</v>
      </c>
      <c r="F39" s="60">
        <v>0</v>
      </c>
      <c r="G39" s="60">
        <f>F39-B39</f>
        <v>0</v>
      </c>
    </row>
    <row r="40" spans="1:8" ht="14.25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154">
        <f>SUM(B9,B10,B11,B12,B13,B14,B15,B16,B28,B34,B35,B37)</f>
        <v>31830196</v>
      </c>
      <c r="C41" s="154">
        <f>SUM(C9,C10,C11,C12,C13,C14,C15,C16,C28,C34,C35,C37)</f>
        <v>13000527.689999998</v>
      </c>
      <c r="D41" s="154">
        <f>SUM(D9,D10,D11,D12,D13,D14,D15,D16,D28,D34,D35,D37)</f>
        <v>44830723.690000005</v>
      </c>
      <c r="E41" s="61">
        <f t="shared" ref="E41" si="8">SUM(E9,E10,E11,E12,E13,E14,E15,E16,E28,E34,E35,E37)</f>
        <v>47445417.360000007</v>
      </c>
      <c r="F41" s="61">
        <f>SUM(F9,F10,F11,F12,F13,F14,F15,F16,F28,F34,F35,F37)</f>
        <v>47443462.360000007</v>
      </c>
      <c r="G41" s="61">
        <f>SUM(G9,G10,G11,G12,G13,G14,G15,G16,G28,G34,G35,G37)</f>
        <v>15613266.359999999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15613266.359999999</v>
      </c>
      <c r="H42" s="8"/>
    </row>
    <row r="43" spans="1:8" ht="14.25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9">SUM(C46:C53)</f>
        <v>0</v>
      </c>
      <c r="D45" s="60">
        <f t="shared" si="9"/>
        <v>0</v>
      </c>
      <c r="E45" s="60">
        <f t="shared" si="9"/>
        <v>0</v>
      </c>
      <c r="F45" s="60">
        <f>SUM(F46:F53)</f>
        <v>0</v>
      </c>
      <c r="G45" s="60">
        <f t="shared" si="9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10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10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10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10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10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10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10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1">SUM(C55:C58)</f>
        <v>0</v>
      </c>
      <c r="D54" s="60">
        <f t="shared" si="11"/>
        <v>0</v>
      </c>
      <c r="E54" s="60">
        <f t="shared" si="11"/>
        <v>0</v>
      </c>
      <c r="F54" s="60">
        <f t="shared" si="11"/>
        <v>0</v>
      </c>
      <c r="G54" s="60">
        <f t="shared" si="11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2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2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2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3">SUM(C60:C61)</f>
        <v>0</v>
      </c>
      <c r="D59" s="60">
        <f t="shared" si="13"/>
        <v>0</v>
      </c>
      <c r="E59" s="60">
        <f t="shared" si="13"/>
        <v>0</v>
      </c>
      <c r="F59" s="60">
        <f t="shared" si="13"/>
        <v>0</v>
      </c>
      <c r="G59" s="60">
        <f t="shared" si="13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4">C45+C54+C59+C62+C63</f>
        <v>0</v>
      </c>
      <c r="D65" s="61">
        <f t="shared" si="14"/>
        <v>0</v>
      </c>
      <c r="E65" s="61">
        <f t="shared" si="14"/>
        <v>0</v>
      </c>
      <c r="F65" s="61">
        <f t="shared" si="14"/>
        <v>0</v>
      </c>
      <c r="G65" s="61">
        <f t="shared" si="14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5">C68</f>
        <v>0</v>
      </c>
      <c r="D67" s="61">
        <f t="shared" si="15"/>
        <v>0</v>
      </c>
      <c r="E67" s="61">
        <f t="shared" si="15"/>
        <v>0</v>
      </c>
      <c r="F67" s="61">
        <f t="shared" si="15"/>
        <v>0</v>
      </c>
      <c r="G67" s="61">
        <f t="shared" si="15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31830196</v>
      </c>
      <c r="C70" s="61">
        <f t="shared" ref="C70:G70" si="16">C41+C65+C67</f>
        <v>13000527.689999998</v>
      </c>
      <c r="D70" s="61">
        <f t="shared" si="16"/>
        <v>44830723.690000005</v>
      </c>
      <c r="E70" s="61">
        <f t="shared" si="16"/>
        <v>47445417.360000007</v>
      </c>
      <c r="F70" s="61">
        <f t="shared" si="16"/>
        <v>47443462.360000007</v>
      </c>
      <c r="G70" s="61">
        <f t="shared" si="16"/>
        <v>15613266.359999999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7">C73+C74</f>
        <v>0</v>
      </c>
      <c r="D75" s="61">
        <f t="shared" si="17"/>
        <v>0</v>
      </c>
      <c r="E75" s="61">
        <f t="shared" si="17"/>
        <v>0</v>
      </c>
      <c r="F75" s="61">
        <f t="shared" si="17"/>
        <v>0</v>
      </c>
      <c r="G75" s="61">
        <f t="shared" si="17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60000</v>
      </c>
      <c r="Q6" s="18">
        <f>'Formato 5'!C12</f>
        <v>0</v>
      </c>
      <c r="R6" s="18">
        <f>'Formato 5'!D12</f>
        <v>60000</v>
      </c>
      <c r="S6" s="18">
        <f>'Formato 5'!E12</f>
        <v>491332.95</v>
      </c>
      <c r="T6" s="18">
        <f>'Formato 5'!F12</f>
        <v>491332.95</v>
      </c>
      <c r="U6" s="18">
        <f>'Formato 5'!G12</f>
        <v>431332.95</v>
      </c>
      <c r="V6" s="18"/>
      <c r="W6" s="18"/>
      <c r="X6" s="18"/>
      <c r="Y6" s="18"/>
    </row>
    <row r="7" spans="1: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3255000</v>
      </c>
      <c r="Q9" s="18">
        <f>'Formato 5'!C15</f>
        <v>2022306.73</v>
      </c>
      <c r="R9" s="18">
        <f>'Formato 5'!D15</f>
        <v>5277306.7300000004</v>
      </c>
      <c r="S9" s="18">
        <f>'Formato 5'!E15</f>
        <v>10331544</v>
      </c>
      <c r="T9" s="18">
        <f>'Formato 5'!F15</f>
        <v>10329589</v>
      </c>
      <c r="U9" s="18">
        <f>'Formato 5'!G15</f>
        <v>7074589</v>
      </c>
    </row>
    <row r="10" spans="1: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27000000</v>
      </c>
      <c r="Q28" s="18">
        <f>'Formato 5'!C34</f>
        <v>5405077.8600000003</v>
      </c>
      <c r="R28" s="18">
        <f>'Formato 5'!D34</f>
        <v>32405077.859999999</v>
      </c>
      <c r="S28" s="18">
        <f>'Formato 5'!E34</f>
        <v>30546269.280000001</v>
      </c>
      <c r="T28" s="18">
        <f>'Formato 5'!F34</f>
        <v>30546269.280000001</v>
      </c>
      <c r="U28" s="18">
        <f>'Formato 5'!G34</f>
        <v>3546269.2800000012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1515196</v>
      </c>
      <c r="Q29" s="18">
        <f>'Formato 5'!C35</f>
        <v>2608240.0599999996</v>
      </c>
      <c r="R29" s="18">
        <f>'Formato 5'!D35</f>
        <v>4123436.0599999996</v>
      </c>
      <c r="S29" s="18">
        <f>'Formato 5'!E35</f>
        <v>6076271.1299999999</v>
      </c>
      <c r="T29" s="18">
        <f>'Formato 5'!F35</f>
        <v>6076271.1299999999</v>
      </c>
      <c r="U29" s="18">
        <f>'Formato 5'!G35</f>
        <v>4561075.13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1515196</v>
      </c>
      <c r="Q30" s="18">
        <f>'Formato 5'!C36</f>
        <v>2608240.0599999996</v>
      </c>
      <c r="R30" s="18">
        <f>'Formato 5'!D36</f>
        <v>4123436.0599999996</v>
      </c>
      <c r="S30" s="18">
        <f>'Formato 5'!E36</f>
        <v>6076271.1299999999</v>
      </c>
      <c r="T30" s="18">
        <f>'Formato 5'!F36</f>
        <v>6076271.1299999999</v>
      </c>
      <c r="U30" s="18">
        <f>'Formato 5'!G36</f>
        <v>4561075.13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2964903.04</v>
      </c>
      <c r="R31" s="18">
        <f>'Formato 5'!D37</f>
        <v>2964903.04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2964903.04</v>
      </c>
      <c r="R33" s="18">
        <f>'Formato 5'!D39</f>
        <v>2964903.04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31830196</v>
      </c>
      <c r="Q34">
        <f>'Formato 5'!C41</f>
        <v>13000527.689999998</v>
      </c>
      <c r="R34">
        <f>'Formato 5'!D41</f>
        <v>44830723.690000005</v>
      </c>
      <c r="S34">
        <f>'Formato 5'!E41</f>
        <v>47445417.360000007</v>
      </c>
      <c r="T34">
        <f>'Formato 5'!F41</f>
        <v>47443462.360000007</v>
      </c>
      <c r="U34">
        <f>'Formato 5'!G41</f>
        <v>15613266.359999999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15613266.359999999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120" zoomScaleNormal="120" zoomScalePageLayoutView="90" workbookViewId="0">
      <selection activeCell="A15" sqref="A15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04" t="s">
        <v>3286</v>
      </c>
      <c r="B1" s="203"/>
      <c r="C1" s="203"/>
      <c r="D1" s="203"/>
      <c r="E1" s="203"/>
      <c r="F1" s="203"/>
      <c r="G1" s="203"/>
    </row>
    <row r="2" spans="1:7" x14ac:dyDescent="0.25">
      <c r="A2" s="207" t="str">
        <f>ENTE_PUBLICO_A</f>
        <v>ORGANISMO, Gobierno del Estado de Guanajuato (a)</v>
      </c>
      <c r="B2" s="207"/>
      <c r="C2" s="207"/>
      <c r="D2" s="207"/>
      <c r="E2" s="207"/>
      <c r="F2" s="207"/>
      <c r="G2" s="207"/>
    </row>
    <row r="3" spans="1:7" x14ac:dyDescent="0.25">
      <c r="A3" s="208" t="s">
        <v>277</v>
      </c>
      <c r="B3" s="208"/>
      <c r="C3" s="208"/>
      <c r="D3" s="208"/>
      <c r="E3" s="208"/>
      <c r="F3" s="208"/>
      <c r="G3" s="208"/>
    </row>
    <row r="4" spans="1:7" x14ac:dyDescent="0.25">
      <c r="A4" s="208" t="s">
        <v>278</v>
      </c>
      <c r="B4" s="208"/>
      <c r="C4" s="208"/>
      <c r="D4" s="208"/>
      <c r="E4" s="208"/>
      <c r="F4" s="208"/>
      <c r="G4" s="208"/>
    </row>
    <row r="5" spans="1:7" x14ac:dyDescent="0.25">
      <c r="A5" s="209" t="str">
        <f>TRIMESTRE</f>
        <v>Del 1 de enero al 31 de diciembre de 2019 (b)</v>
      </c>
      <c r="B5" s="209"/>
      <c r="C5" s="209"/>
      <c r="D5" s="209"/>
      <c r="E5" s="209"/>
      <c r="F5" s="209"/>
      <c r="G5" s="209"/>
    </row>
    <row r="6" spans="1:7" x14ac:dyDescent="0.25">
      <c r="A6" s="201" t="s">
        <v>118</v>
      </c>
      <c r="B6" s="201"/>
      <c r="C6" s="201"/>
      <c r="D6" s="201"/>
      <c r="E6" s="201"/>
      <c r="F6" s="201"/>
      <c r="G6" s="201"/>
    </row>
    <row r="7" spans="1:7" ht="15" customHeight="1" x14ac:dyDescent="0.25">
      <c r="A7" s="205" t="s">
        <v>0</v>
      </c>
      <c r="B7" s="205" t="s">
        <v>279</v>
      </c>
      <c r="C7" s="205"/>
      <c r="D7" s="205"/>
      <c r="E7" s="205"/>
      <c r="F7" s="205"/>
      <c r="G7" s="206" t="s">
        <v>280</v>
      </c>
    </row>
    <row r="8" spans="1:7" ht="30" x14ac:dyDescent="0.25">
      <c r="A8" s="205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05"/>
    </row>
    <row r="9" spans="1:7" x14ac:dyDescent="0.25">
      <c r="A9" s="82" t="s">
        <v>285</v>
      </c>
      <c r="B9" s="79">
        <f>SUM(B10,B18,B28,B38,B48,B58,B62,B71,B75)</f>
        <v>31830196</v>
      </c>
      <c r="C9" s="79">
        <f>SUM(C10,C18,C28,C38,C48,C58,C62,C71,C75)</f>
        <v>13000527.689999999</v>
      </c>
      <c r="D9" s="79">
        <f>SUM(D10,D18,D28,D38,D48,D58,D62,D71,D75)</f>
        <v>44830723.690000005</v>
      </c>
      <c r="E9" s="79">
        <f t="shared" ref="E9:G9" si="0">SUM(E10,E18,E28,E38,E48,E58,E62,E71,E75)</f>
        <v>37699734.420000002</v>
      </c>
      <c r="F9" s="79">
        <f t="shared" si="0"/>
        <v>37396918.49000001</v>
      </c>
      <c r="G9" s="79">
        <f t="shared" si="0"/>
        <v>7130989.2700000023</v>
      </c>
    </row>
    <row r="10" spans="1:7" x14ac:dyDescent="0.25">
      <c r="A10" s="83" t="s">
        <v>286</v>
      </c>
      <c r="B10" s="80">
        <f>SUM(B11:B17)</f>
        <v>19992071.75</v>
      </c>
      <c r="C10" s="80">
        <f t="shared" ref="C10:F10" si="1">SUM(C11:C17)</f>
        <v>-448398.81</v>
      </c>
      <c r="D10" s="80">
        <f t="shared" si="1"/>
        <v>19543672.940000001</v>
      </c>
      <c r="E10" s="80">
        <f t="shared" si="1"/>
        <v>17885260.540000003</v>
      </c>
      <c r="F10" s="80">
        <f t="shared" si="1"/>
        <v>17864905.140000004</v>
      </c>
      <c r="G10" s="80">
        <f>SUM(G11:G17)</f>
        <v>1658412.4</v>
      </c>
    </row>
    <row r="11" spans="1:7" x14ac:dyDescent="0.25">
      <c r="A11" s="84" t="s">
        <v>287</v>
      </c>
      <c r="B11" s="157">
        <v>13107617.279999999</v>
      </c>
      <c r="C11" s="176">
        <v>-601715.96</v>
      </c>
      <c r="D11" s="155">
        <f>B11+C11</f>
        <v>12505901.32</v>
      </c>
      <c r="E11" s="176">
        <v>11380532.82</v>
      </c>
      <c r="F11" s="176">
        <v>11380532.82</v>
      </c>
      <c r="G11" s="80">
        <f>D11-E11</f>
        <v>1125368.5</v>
      </c>
    </row>
    <row r="12" spans="1:7" x14ac:dyDescent="0.25">
      <c r="A12" s="84" t="s">
        <v>288</v>
      </c>
      <c r="B12" s="157">
        <v>3703324.69</v>
      </c>
      <c r="C12" s="176">
        <v>525299.84</v>
      </c>
      <c r="D12" s="155">
        <f t="shared" ref="D12:D17" si="2">B12+C12</f>
        <v>4228624.53</v>
      </c>
      <c r="E12" s="176">
        <v>4139303.27</v>
      </c>
      <c r="F12" s="176">
        <v>4118947.87</v>
      </c>
      <c r="G12" s="80">
        <f>D12-E12</f>
        <v>89321.260000000242</v>
      </c>
    </row>
    <row r="13" spans="1:7" ht="14.25" customHeight="1" x14ac:dyDescent="0.25">
      <c r="A13" s="84" t="s">
        <v>289</v>
      </c>
      <c r="B13" s="157">
        <v>2351629.7799999998</v>
      </c>
      <c r="C13" s="176">
        <v>-137589.69</v>
      </c>
      <c r="D13" s="155">
        <f t="shared" si="2"/>
        <v>2214040.09</v>
      </c>
      <c r="E13" s="176">
        <v>1835289.78</v>
      </c>
      <c r="F13" s="176">
        <v>1835289.78</v>
      </c>
      <c r="G13" s="80">
        <f t="shared" ref="G13:G17" si="3">D13-E13</f>
        <v>378750.30999999982</v>
      </c>
    </row>
    <row r="14" spans="1:7" ht="14.25" customHeight="1" x14ac:dyDescent="0.25">
      <c r="A14" s="84" t="s">
        <v>290</v>
      </c>
      <c r="B14" s="156"/>
      <c r="C14" s="176">
        <v>0</v>
      </c>
      <c r="D14" s="155">
        <f t="shared" si="2"/>
        <v>0</v>
      </c>
      <c r="E14" s="176">
        <v>0</v>
      </c>
      <c r="F14" s="176">
        <v>0</v>
      </c>
      <c r="G14" s="80">
        <f t="shared" si="3"/>
        <v>0</v>
      </c>
    </row>
    <row r="15" spans="1:7" x14ac:dyDescent="0.25">
      <c r="A15" s="84" t="s">
        <v>291</v>
      </c>
      <c r="B15" s="157">
        <v>829500</v>
      </c>
      <c r="C15" s="176">
        <v>-234393</v>
      </c>
      <c r="D15" s="155">
        <f t="shared" si="2"/>
        <v>595107</v>
      </c>
      <c r="E15" s="176">
        <v>530134.67000000004</v>
      </c>
      <c r="F15" s="176">
        <v>530134.67000000004</v>
      </c>
      <c r="G15" s="80">
        <f t="shared" si="3"/>
        <v>64972.329999999958</v>
      </c>
    </row>
    <row r="16" spans="1:7" ht="14.25" customHeight="1" x14ac:dyDescent="0.25">
      <c r="A16" s="84" t="s">
        <v>292</v>
      </c>
      <c r="B16" s="156"/>
      <c r="C16" s="176">
        <v>0</v>
      </c>
      <c r="D16" s="155">
        <f t="shared" si="2"/>
        <v>0</v>
      </c>
      <c r="E16" s="176">
        <v>0</v>
      </c>
      <c r="F16" s="176">
        <v>0</v>
      </c>
      <c r="G16" s="80">
        <f t="shared" si="3"/>
        <v>0</v>
      </c>
    </row>
    <row r="17" spans="1:7" x14ac:dyDescent="0.25">
      <c r="A17" s="84" t="s">
        <v>293</v>
      </c>
      <c r="B17" s="156"/>
      <c r="C17" s="176">
        <v>0</v>
      </c>
      <c r="D17" s="155">
        <f t="shared" si="2"/>
        <v>0</v>
      </c>
      <c r="E17" s="176">
        <v>0</v>
      </c>
      <c r="F17" s="176">
        <v>0</v>
      </c>
      <c r="G17" s="80">
        <f t="shared" si="3"/>
        <v>0</v>
      </c>
    </row>
    <row r="18" spans="1:7" x14ac:dyDescent="0.25">
      <c r="A18" s="83" t="s">
        <v>294</v>
      </c>
      <c r="B18" s="80">
        <f>SUM(B19:B27)</f>
        <v>3325314</v>
      </c>
      <c r="C18" s="80">
        <f>SUM(C19:C27)</f>
        <v>396577.73</v>
      </c>
      <c r="D18" s="80">
        <f t="shared" ref="D18:F18" si="4">SUM(D19:D27)</f>
        <v>3721891.73</v>
      </c>
      <c r="E18" s="80">
        <f t="shared" si="4"/>
        <v>3251298.7</v>
      </c>
      <c r="F18" s="80">
        <f t="shared" si="4"/>
        <v>3189025.57</v>
      </c>
      <c r="G18" s="80">
        <f>SUM(G19:G27)</f>
        <v>470593.03</v>
      </c>
    </row>
    <row r="19" spans="1:7" x14ac:dyDescent="0.25">
      <c r="A19" s="84" t="s">
        <v>295</v>
      </c>
      <c r="B19" s="162">
        <v>418700</v>
      </c>
      <c r="C19" s="176">
        <v>159560.94</v>
      </c>
      <c r="D19" s="159">
        <f t="shared" ref="D19:D26" si="5">+B19+C19</f>
        <v>578260.93999999994</v>
      </c>
      <c r="E19" s="176">
        <v>463571.88</v>
      </c>
      <c r="F19" s="176">
        <v>463571.88</v>
      </c>
      <c r="G19" s="80">
        <f>D19-E19</f>
        <v>114689.05999999994</v>
      </c>
    </row>
    <row r="20" spans="1:7" ht="14.25" x14ac:dyDescent="0.25">
      <c r="A20" s="84" t="s">
        <v>296</v>
      </c>
      <c r="B20" s="162">
        <v>866000</v>
      </c>
      <c r="C20" s="176">
        <v>-1000</v>
      </c>
      <c r="D20" s="159">
        <f t="shared" si="5"/>
        <v>865000</v>
      </c>
      <c r="E20" s="176">
        <v>678738.57</v>
      </c>
      <c r="F20" s="176">
        <v>678353.57</v>
      </c>
      <c r="G20" s="80">
        <f t="shared" ref="G20:G27" si="6">D20-E20</f>
        <v>186261.43000000005</v>
      </c>
    </row>
    <row r="21" spans="1:7" x14ac:dyDescent="0.25">
      <c r="A21" s="84" t="s">
        <v>297</v>
      </c>
      <c r="B21" s="161"/>
      <c r="C21" s="176">
        <v>0</v>
      </c>
      <c r="D21" s="159">
        <f t="shared" si="5"/>
        <v>0</v>
      </c>
      <c r="E21" s="176">
        <v>0</v>
      </c>
      <c r="F21" s="176">
        <v>0</v>
      </c>
      <c r="G21" s="80">
        <f t="shared" si="6"/>
        <v>0</v>
      </c>
    </row>
    <row r="22" spans="1:7" x14ac:dyDescent="0.25">
      <c r="A22" s="84" t="s">
        <v>298</v>
      </c>
      <c r="B22" s="162">
        <v>210000</v>
      </c>
      <c r="C22" s="176">
        <v>15000</v>
      </c>
      <c r="D22" s="159">
        <f t="shared" si="5"/>
        <v>225000</v>
      </c>
      <c r="E22" s="176">
        <v>190869.74</v>
      </c>
      <c r="F22" s="176">
        <v>190869.74</v>
      </c>
      <c r="G22" s="80">
        <f t="shared" si="6"/>
        <v>34130.260000000009</v>
      </c>
    </row>
    <row r="23" spans="1:7" x14ac:dyDescent="0.25">
      <c r="A23" s="84" t="s">
        <v>299</v>
      </c>
      <c r="B23" s="162">
        <v>542000</v>
      </c>
      <c r="C23" s="176">
        <v>301606.73</v>
      </c>
      <c r="D23" s="159">
        <f t="shared" si="5"/>
        <v>843606.73</v>
      </c>
      <c r="E23" s="176">
        <v>798937.59999999998</v>
      </c>
      <c r="F23" s="176">
        <v>737049.47</v>
      </c>
      <c r="G23" s="80">
        <f t="shared" si="6"/>
        <v>44669.130000000005</v>
      </c>
    </row>
    <row r="24" spans="1:7" ht="14.25" x14ac:dyDescent="0.25">
      <c r="A24" s="84" t="s">
        <v>300</v>
      </c>
      <c r="B24" s="162">
        <v>1090000</v>
      </c>
      <c r="C24" s="176">
        <v>-83995.94</v>
      </c>
      <c r="D24" s="159">
        <f t="shared" si="5"/>
        <v>1006004.06</v>
      </c>
      <c r="E24" s="176">
        <v>952625.37</v>
      </c>
      <c r="F24" s="176">
        <v>952625.37</v>
      </c>
      <c r="G24" s="80">
        <f t="shared" si="6"/>
        <v>53378.690000000061</v>
      </c>
    </row>
    <row r="25" spans="1:7" x14ac:dyDescent="0.25">
      <c r="A25" s="84" t="s">
        <v>301</v>
      </c>
      <c r="B25" s="162">
        <v>59114</v>
      </c>
      <c r="C25" s="176">
        <v>20000</v>
      </c>
      <c r="D25" s="159">
        <f t="shared" si="5"/>
        <v>79114</v>
      </c>
      <c r="E25" s="176">
        <v>70310.89</v>
      </c>
      <c r="F25" s="176">
        <v>70310.89</v>
      </c>
      <c r="G25" s="80">
        <f t="shared" si="6"/>
        <v>8803.11</v>
      </c>
    </row>
    <row r="26" spans="1:7" ht="14.25" x14ac:dyDescent="0.25">
      <c r="A26" s="84" t="s">
        <v>302</v>
      </c>
      <c r="B26" s="161"/>
      <c r="C26" s="176">
        <v>0</v>
      </c>
      <c r="D26" s="159">
        <f t="shared" si="5"/>
        <v>0</v>
      </c>
      <c r="E26" s="176">
        <v>0</v>
      </c>
      <c r="F26" s="176">
        <v>0</v>
      </c>
      <c r="G26" s="80">
        <f t="shared" si="6"/>
        <v>0</v>
      </c>
    </row>
    <row r="27" spans="1:7" ht="14.25" x14ac:dyDescent="0.25">
      <c r="A27" s="84" t="s">
        <v>303</v>
      </c>
      <c r="B27" s="162">
        <v>139500</v>
      </c>
      <c r="C27" s="176">
        <v>-14594</v>
      </c>
      <c r="D27" s="159">
        <f>+B27+C27</f>
        <v>124906</v>
      </c>
      <c r="E27" s="176">
        <v>96244.65</v>
      </c>
      <c r="F27" s="176">
        <v>96244.65</v>
      </c>
      <c r="G27" s="80">
        <f t="shared" si="6"/>
        <v>28661.350000000006</v>
      </c>
    </row>
    <row r="28" spans="1:7" ht="14.25" x14ac:dyDescent="0.25">
      <c r="A28" s="83" t="s">
        <v>304</v>
      </c>
      <c r="B28" s="80">
        <f>SUM(B29:B37)</f>
        <v>3607511.64</v>
      </c>
      <c r="C28" s="159">
        <f>SUM(C29:C37)</f>
        <v>715972.21</v>
      </c>
      <c r="D28" s="80">
        <f t="shared" ref="D28:G28" si="7">SUM(D29:D37)</f>
        <v>4323483.8499999996</v>
      </c>
      <c r="E28" s="80">
        <f t="shared" si="7"/>
        <v>3687153.28</v>
      </c>
      <c r="F28" s="80">
        <f t="shared" si="7"/>
        <v>3550971.28</v>
      </c>
      <c r="G28" s="80">
        <f t="shared" si="7"/>
        <v>636330.57000000007</v>
      </c>
    </row>
    <row r="29" spans="1:7" x14ac:dyDescent="0.25">
      <c r="A29" s="84" t="s">
        <v>305</v>
      </c>
      <c r="B29" s="163">
        <v>410500</v>
      </c>
      <c r="C29" s="176">
        <v>42000</v>
      </c>
      <c r="D29" s="159">
        <f t="shared" ref="D29:D37" si="8">+B29+C29</f>
        <v>452500</v>
      </c>
      <c r="E29" s="176">
        <v>395332.73</v>
      </c>
      <c r="F29" s="176">
        <v>372399.73</v>
      </c>
      <c r="G29" s="80">
        <f>D29-E29</f>
        <v>57167.270000000019</v>
      </c>
    </row>
    <row r="30" spans="1:7" x14ac:dyDescent="0.25">
      <c r="A30" s="84" t="s">
        <v>306</v>
      </c>
      <c r="B30" s="163">
        <v>50000</v>
      </c>
      <c r="C30" s="176">
        <v>96000</v>
      </c>
      <c r="D30" s="159">
        <f t="shared" si="8"/>
        <v>146000</v>
      </c>
      <c r="E30" s="176">
        <v>116000</v>
      </c>
      <c r="F30" s="176">
        <v>116000</v>
      </c>
      <c r="G30" s="80">
        <f t="shared" ref="G30:G37" si="9">D30-E30</f>
        <v>30000</v>
      </c>
    </row>
    <row r="31" spans="1:7" x14ac:dyDescent="0.25">
      <c r="A31" s="84" t="s">
        <v>307</v>
      </c>
      <c r="B31" s="163">
        <v>378000</v>
      </c>
      <c r="C31" s="176">
        <v>30885</v>
      </c>
      <c r="D31" s="159">
        <f t="shared" si="8"/>
        <v>408885</v>
      </c>
      <c r="E31" s="176">
        <v>327378.7</v>
      </c>
      <c r="F31" s="176">
        <v>327378.7</v>
      </c>
      <c r="G31" s="80">
        <f t="shared" si="9"/>
        <v>81506.299999999988</v>
      </c>
    </row>
    <row r="32" spans="1:7" x14ac:dyDescent="0.25">
      <c r="A32" s="84" t="s">
        <v>308</v>
      </c>
      <c r="B32" s="163">
        <v>266500</v>
      </c>
      <c r="C32" s="176">
        <v>-96500</v>
      </c>
      <c r="D32" s="159">
        <f t="shared" si="8"/>
        <v>170000</v>
      </c>
      <c r="E32" s="176">
        <v>161712.85999999999</v>
      </c>
      <c r="F32" s="176">
        <v>161712.85999999999</v>
      </c>
      <c r="G32" s="80">
        <f t="shared" si="9"/>
        <v>8287.140000000014</v>
      </c>
    </row>
    <row r="33" spans="1:7" x14ac:dyDescent="0.25">
      <c r="A33" s="84" t="s">
        <v>309</v>
      </c>
      <c r="B33" s="163">
        <v>955400</v>
      </c>
      <c r="C33" s="176">
        <v>123824.51</v>
      </c>
      <c r="D33" s="159">
        <f t="shared" si="8"/>
        <v>1079224.51</v>
      </c>
      <c r="E33" s="176">
        <v>983356.42</v>
      </c>
      <c r="F33" s="176">
        <v>870575.42</v>
      </c>
      <c r="G33" s="80">
        <f t="shared" si="9"/>
        <v>95868.089999999967</v>
      </c>
    </row>
    <row r="34" spans="1:7" x14ac:dyDescent="0.25">
      <c r="A34" s="84" t="s">
        <v>310</v>
      </c>
      <c r="B34" s="163">
        <v>357200</v>
      </c>
      <c r="C34" s="176">
        <v>-33700</v>
      </c>
      <c r="D34" s="159">
        <f t="shared" si="8"/>
        <v>323500</v>
      </c>
      <c r="E34" s="176">
        <v>162777</v>
      </c>
      <c r="F34" s="176">
        <v>162777</v>
      </c>
      <c r="G34" s="80">
        <f t="shared" si="9"/>
        <v>160723</v>
      </c>
    </row>
    <row r="35" spans="1:7" x14ac:dyDescent="0.25">
      <c r="A35" s="84" t="s">
        <v>311</v>
      </c>
      <c r="B35" s="163">
        <v>165000</v>
      </c>
      <c r="C35" s="176">
        <v>23306</v>
      </c>
      <c r="D35" s="159">
        <f t="shared" si="8"/>
        <v>188306</v>
      </c>
      <c r="E35" s="176">
        <v>138906</v>
      </c>
      <c r="F35" s="176">
        <v>138906</v>
      </c>
      <c r="G35" s="80">
        <f t="shared" si="9"/>
        <v>49400</v>
      </c>
    </row>
    <row r="36" spans="1:7" x14ac:dyDescent="0.25">
      <c r="A36" s="84" t="s">
        <v>312</v>
      </c>
      <c r="B36" s="163">
        <v>630000</v>
      </c>
      <c r="C36" s="176">
        <v>466533.7</v>
      </c>
      <c r="D36" s="159">
        <f t="shared" si="8"/>
        <v>1096533.7</v>
      </c>
      <c r="E36" s="176">
        <v>985925.73</v>
      </c>
      <c r="F36" s="176">
        <v>985925.73</v>
      </c>
      <c r="G36" s="80">
        <f t="shared" si="9"/>
        <v>110607.96999999997</v>
      </c>
    </row>
    <row r="37" spans="1:7" x14ac:dyDescent="0.25">
      <c r="A37" s="84" t="s">
        <v>313</v>
      </c>
      <c r="B37" s="163">
        <v>394911.64</v>
      </c>
      <c r="C37" s="176">
        <v>63623</v>
      </c>
      <c r="D37" s="159">
        <f t="shared" si="8"/>
        <v>458534.64</v>
      </c>
      <c r="E37" s="176">
        <v>415763.84</v>
      </c>
      <c r="F37" s="176">
        <v>415295.84</v>
      </c>
      <c r="G37" s="80">
        <f t="shared" si="9"/>
        <v>42770.799999999988</v>
      </c>
    </row>
    <row r="38" spans="1:7" x14ac:dyDescent="0.25">
      <c r="A38" s="83" t="s">
        <v>314</v>
      </c>
      <c r="B38" s="80">
        <f>SUM(B39:B47)</f>
        <v>3958298.61</v>
      </c>
      <c r="C38" s="80">
        <f t="shared" ref="C38:G38" si="10">SUM(C39:C47)</f>
        <v>5461516.6299999999</v>
      </c>
      <c r="D38" s="80">
        <f t="shared" si="10"/>
        <v>9419815.2400000002</v>
      </c>
      <c r="E38" s="80">
        <f t="shared" si="10"/>
        <v>8801091.6199999992</v>
      </c>
      <c r="F38" s="80">
        <f t="shared" si="10"/>
        <v>8717086.2200000007</v>
      </c>
      <c r="G38" s="80">
        <f t="shared" si="10"/>
        <v>618723.62000000174</v>
      </c>
    </row>
    <row r="39" spans="1:7" x14ac:dyDescent="0.25">
      <c r="A39" s="84" t="s">
        <v>315</v>
      </c>
      <c r="B39" s="164"/>
      <c r="C39" s="176">
        <v>0</v>
      </c>
      <c r="D39" s="159">
        <f t="shared" ref="D39:D47" si="11">+B39+C39</f>
        <v>0</v>
      </c>
      <c r="E39" s="176">
        <v>0</v>
      </c>
      <c r="F39" s="176">
        <v>0</v>
      </c>
      <c r="G39" s="80">
        <f>D39-E39</f>
        <v>0</v>
      </c>
    </row>
    <row r="40" spans="1:7" x14ac:dyDescent="0.25">
      <c r="A40" s="84" t="s">
        <v>316</v>
      </c>
      <c r="B40" s="164"/>
      <c r="C40" s="176">
        <v>0</v>
      </c>
      <c r="D40" s="159">
        <f t="shared" si="11"/>
        <v>0</v>
      </c>
      <c r="E40" s="176">
        <v>0</v>
      </c>
      <c r="F40" s="176">
        <v>0</v>
      </c>
      <c r="G40" s="80">
        <f t="shared" ref="G40:G47" si="12">D40-E40</f>
        <v>0</v>
      </c>
    </row>
    <row r="41" spans="1:7" x14ac:dyDescent="0.25">
      <c r="A41" s="84" t="s">
        <v>317</v>
      </c>
      <c r="B41" s="164"/>
      <c r="C41" s="176">
        <v>0</v>
      </c>
      <c r="D41" s="159">
        <f t="shared" si="11"/>
        <v>0</v>
      </c>
      <c r="E41" s="176">
        <v>0</v>
      </c>
      <c r="F41" s="176">
        <v>0</v>
      </c>
      <c r="G41" s="80">
        <f t="shared" si="12"/>
        <v>0</v>
      </c>
    </row>
    <row r="42" spans="1:7" x14ac:dyDescent="0.25">
      <c r="A42" s="84" t="s">
        <v>318</v>
      </c>
      <c r="B42" s="165">
        <v>3826699.83</v>
      </c>
      <c r="C42" s="176">
        <v>5461516.6299999999</v>
      </c>
      <c r="D42" s="159">
        <f t="shared" si="11"/>
        <v>9288216.4600000009</v>
      </c>
      <c r="E42" s="176">
        <v>8669494.6199999992</v>
      </c>
      <c r="F42" s="176">
        <v>8585489.2200000007</v>
      </c>
      <c r="G42" s="80">
        <f t="shared" si="12"/>
        <v>618721.84000000171</v>
      </c>
    </row>
    <row r="43" spans="1:7" x14ac:dyDescent="0.25">
      <c r="A43" s="84" t="s">
        <v>319</v>
      </c>
      <c r="B43" s="165">
        <v>131598.78</v>
      </c>
      <c r="C43" s="176">
        <v>0</v>
      </c>
      <c r="D43" s="159">
        <f t="shared" si="11"/>
        <v>131598.78</v>
      </c>
      <c r="E43" s="176">
        <v>131597</v>
      </c>
      <c r="F43" s="176">
        <v>131597</v>
      </c>
      <c r="G43" s="80">
        <f t="shared" si="12"/>
        <v>1.7799999999988358</v>
      </c>
    </row>
    <row r="44" spans="1:7" x14ac:dyDescent="0.25">
      <c r="A44" s="84" t="s">
        <v>320</v>
      </c>
      <c r="B44" s="164"/>
      <c r="C44" s="176">
        <v>0</v>
      </c>
      <c r="D44" s="159">
        <f t="shared" si="11"/>
        <v>0</v>
      </c>
      <c r="E44" s="176">
        <v>0</v>
      </c>
      <c r="F44" s="176">
        <v>0</v>
      </c>
      <c r="G44" s="80">
        <f t="shared" si="12"/>
        <v>0</v>
      </c>
    </row>
    <row r="45" spans="1:7" x14ac:dyDescent="0.25">
      <c r="A45" s="84" t="s">
        <v>321</v>
      </c>
      <c r="B45" s="164"/>
      <c r="C45" s="176">
        <v>0</v>
      </c>
      <c r="D45" s="159">
        <f t="shared" si="11"/>
        <v>0</v>
      </c>
      <c r="E45" s="176">
        <v>0</v>
      </c>
      <c r="F45" s="176">
        <v>0</v>
      </c>
      <c r="G45" s="80">
        <f t="shared" si="12"/>
        <v>0</v>
      </c>
    </row>
    <row r="46" spans="1:7" x14ac:dyDescent="0.25">
      <c r="A46" s="84" t="s">
        <v>322</v>
      </c>
      <c r="B46" s="164"/>
      <c r="C46" s="176">
        <v>0</v>
      </c>
      <c r="D46" s="159">
        <f t="shared" si="11"/>
        <v>0</v>
      </c>
      <c r="E46" s="176">
        <v>0</v>
      </c>
      <c r="F46" s="176">
        <v>0</v>
      </c>
      <c r="G46" s="80">
        <f t="shared" si="12"/>
        <v>0</v>
      </c>
    </row>
    <row r="47" spans="1:7" x14ac:dyDescent="0.25">
      <c r="A47" s="84" t="s">
        <v>323</v>
      </c>
      <c r="B47" s="164"/>
      <c r="C47" s="176">
        <v>0</v>
      </c>
      <c r="D47" s="159">
        <f t="shared" si="11"/>
        <v>0</v>
      </c>
      <c r="E47" s="176">
        <v>0</v>
      </c>
      <c r="F47" s="176">
        <v>0</v>
      </c>
      <c r="G47" s="80">
        <f t="shared" si="12"/>
        <v>0</v>
      </c>
    </row>
    <row r="48" spans="1:7" x14ac:dyDescent="0.25">
      <c r="A48" s="83" t="s">
        <v>324</v>
      </c>
      <c r="B48" s="80">
        <f>SUM(B49:B57)</f>
        <v>947000</v>
      </c>
      <c r="C48" s="159">
        <f>SUM(C49:C57)</f>
        <v>568413.68000000005</v>
      </c>
      <c r="D48" s="160">
        <f>SUM(D49:D57)</f>
        <v>1515413.68</v>
      </c>
      <c r="E48" s="80">
        <f t="shared" ref="E48:G48" si="13">SUM(E49:E57)</f>
        <v>1317660</v>
      </c>
      <c r="F48" s="80">
        <f t="shared" si="13"/>
        <v>1317660</v>
      </c>
      <c r="G48" s="80">
        <f t="shared" si="13"/>
        <v>197753.68</v>
      </c>
    </row>
    <row r="49" spans="1:7" x14ac:dyDescent="0.25">
      <c r="A49" s="84" t="s">
        <v>325</v>
      </c>
      <c r="B49" s="167">
        <v>402000</v>
      </c>
      <c r="C49" s="176">
        <v>26462.67</v>
      </c>
      <c r="D49" s="159">
        <f t="shared" ref="D49:D74" si="14">+B49+C49</f>
        <v>428462.67</v>
      </c>
      <c r="E49" s="176">
        <v>318349.99</v>
      </c>
      <c r="F49" s="176">
        <v>318349.99</v>
      </c>
      <c r="G49" s="80">
        <f>D49-E49</f>
        <v>110112.68</v>
      </c>
    </row>
    <row r="50" spans="1:7" x14ac:dyDescent="0.25">
      <c r="A50" s="84" t="s">
        <v>326</v>
      </c>
      <c r="B50" s="167">
        <v>80000</v>
      </c>
      <c r="C50" s="176">
        <v>645362.96</v>
      </c>
      <c r="D50" s="159">
        <f t="shared" si="14"/>
        <v>725362.96</v>
      </c>
      <c r="E50" s="176">
        <v>645362.96</v>
      </c>
      <c r="F50" s="176">
        <v>645362.96</v>
      </c>
      <c r="G50" s="80">
        <f t="shared" ref="G50:G57" si="15">D50-E50</f>
        <v>80000</v>
      </c>
    </row>
    <row r="51" spans="1:7" x14ac:dyDescent="0.25">
      <c r="A51" s="84" t="s">
        <v>327</v>
      </c>
      <c r="B51" s="167">
        <v>100000</v>
      </c>
      <c r="C51" s="176">
        <v>-86464.75</v>
      </c>
      <c r="D51" s="159">
        <f t="shared" si="14"/>
        <v>13535.25</v>
      </c>
      <c r="E51" s="176">
        <v>13535.25</v>
      </c>
      <c r="F51" s="176">
        <v>13535.25</v>
      </c>
      <c r="G51" s="80">
        <f t="shared" si="15"/>
        <v>0</v>
      </c>
    </row>
    <row r="52" spans="1:7" x14ac:dyDescent="0.25">
      <c r="A52" s="84" t="s">
        <v>328</v>
      </c>
      <c r="B52" s="167">
        <v>350000</v>
      </c>
      <c r="C52" s="176">
        <v>-31100</v>
      </c>
      <c r="D52" s="159">
        <f t="shared" si="14"/>
        <v>318900</v>
      </c>
      <c r="E52" s="176">
        <v>318900</v>
      </c>
      <c r="F52" s="176">
        <v>318900</v>
      </c>
      <c r="G52" s="80">
        <f t="shared" si="15"/>
        <v>0</v>
      </c>
    </row>
    <row r="53" spans="1:7" x14ac:dyDescent="0.25">
      <c r="A53" s="84" t="s">
        <v>329</v>
      </c>
      <c r="B53" s="166"/>
      <c r="C53" s="176">
        <v>0</v>
      </c>
      <c r="D53" s="159">
        <f t="shared" si="14"/>
        <v>0</v>
      </c>
      <c r="E53" s="176">
        <v>0</v>
      </c>
      <c r="F53" s="176">
        <v>0</v>
      </c>
      <c r="G53" s="80">
        <f t="shared" si="15"/>
        <v>0</v>
      </c>
    </row>
    <row r="54" spans="1:7" x14ac:dyDescent="0.25">
      <c r="A54" s="84" t="s">
        <v>330</v>
      </c>
      <c r="B54" s="167">
        <v>15000</v>
      </c>
      <c r="C54" s="176">
        <v>14152.8</v>
      </c>
      <c r="D54" s="159">
        <f t="shared" si="14"/>
        <v>29152.799999999999</v>
      </c>
      <c r="E54" s="176">
        <v>21511.8</v>
      </c>
      <c r="F54" s="176">
        <v>21511.8</v>
      </c>
      <c r="G54" s="80">
        <f t="shared" si="15"/>
        <v>7641</v>
      </c>
    </row>
    <row r="55" spans="1:7" x14ac:dyDescent="0.25">
      <c r="A55" s="84" t="s">
        <v>331</v>
      </c>
      <c r="B55" s="166"/>
      <c r="C55" s="176">
        <v>0</v>
      </c>
      <c r="D55" s="159">
        <f t="shared" si="14"/>
        <v>0</v>
      </c>
      <c r="E55" s="176">
        <v>0</v>
      </c>
      <c r="F55" s="176">
        <v>0</v>
      </c>
      <c r="G55" s="80">
        <f t="shared" si="15"/>
        <v>0</v>
      </c>
    </row>
    <row r="56" spans="1:7" x14ac:dyDescent="0.25">
      <c r="A56" s="84" t="s">
        <v>332</v>
      </c>
      <c r="B56" s="166"/>
      <c r="C56" s="176">
        <v>0</v>
      </c>
      <c r="D56" s="159">
        <f t="shared" si="14"/>
        <v>0</v>
      </c>
      <c r="E56" s="176">
        <v>0</v>
      </c>
      <c r="F56" s="176">
        <v>0</v>
      </c>
      <c r="G56" s="80">
        <f t="shared" si="15"/>
        <v>0</v>
      </c>
    </row>
    <row r="57" spans="1:7" x14ac:dyDescent="0.25">
      <c r="A57" s="84" t="s">
        <v>333</v>
      </c>
      <c r="B57" s="166"/>
      <c r="C57" s="176">
        <v>0</v>
      </c>
      <c r="D57" s="159">
        <f t="shared" si="14"/>
        <v>0</v>
      </c>
      <c r="E57" s="176">
        <v>0</v>
      </c>
      <c r="F57" s="176">
        <v>0</v>
      </c>
      <c r="G57" s="80">
        <f t="shared" si="15"/>
        <v>0</v>
      </c>
    </row>
    <row r="58" spans="1:7" x14ac:dyDescent="0.25">
      <c r="A58" s="83" t="s">
        <v>334</v>
      </c>
      <c r="B58" s="80">
        <f>SUM(B59:B61)</f>
        <v>0</v>
      </c>
      <c r="C58" s="160">
        <f>SUM(C59:C61)</f>
        <v>6156446.25</v>
      </c>
      <c r="D58" s="80">
        <f t="shared" ref="D58:G58" si="16">SUM(D59:D61)</f>
        <v>6156446.25</v>
      </c>
      <c r="E58" s="80">
        <f t="shared" si="16"/>
        <v>2607270.2799999998</v>
      </c>
      <c r="F58" s="80">
        <f t="shared" si="16"/>
        <v>2607270.2799999998</v>
      </c>
      <c r="G58" s="80">
        <f t="shared" si="16"/>
        <v>3549175.97</v>
      </c>
    </row>
    <row r="59" spans="1:7" x14ac:dyDescent="0.25">
      <c r="A59" s="84" t="s">
        <v>335</v>
      </c>
      <c r="B59" s="168"/>
      <c r="C59" s="176">
        <v>0</v>
      </c>
      <c r="D59" s="159">
        <f t="shared" si="14"/>
        <v>0</v>
      </c>
      <c r="E59" s="176">
        <v>0</v>
      </c>
      <c r="F59" s="176">
        <v>0</v>
      </c>
      <c r="G59" s="80">
        <f>D59-E59</f>
        <v>0</v>
      </c>
    </row>
    <row r="60" spans="1:7" x14ac:dyDescent="0.25">
      <c r="A60" s="84" t="s">
        <v>336</v>
      </c>
      <c r="B60" s="169">
        <v>0</v>
      </c>
      <c r="C60" s="176">
        <v>6156446.25</v>
      </c>
      <c r="D60" s="159">
        <f t="shared" si="14"/>
        <v>6156446.25</v>
      </c>
      <c r="E60" s="176">
        <v>2607270.2799999998</v>
      </c>
      <c r="F60" s="176">
        <v>2607270.2799999998</v>
      </c>
      <c r="G60" s="80">
        <f t="shared" ref="G60:G61" si="17">D60-E60</f>
        <v>3549175.97</v>
      </c>
    </row>
    <row r="61" spans="1:7" x14ac:dyDescent="0.25">
      <c r="A61" s="84" t="s">
        <v>337</v>
      </c>
      <c r="B61" s="168"/>
      <c r="C61" s="176">
        <v>0</v>
      </c>
      <c r="D61" s="159">
        <f t="shared" si="14"/>
        <v>0</v>
      </c>
      <c r="E61" s="176">
        <v>0</v>
      </c>
      <c r="F61" s="176">
        <v>0</v>
      </c>
      <c r="G61" s="80">
        <f t="shared" si="17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8">SUM(C63:C67,C69:C70)</f>
        <v>0</v>
      </c>
      <c r="D62" s="80">
        <f t="shared" si="18"/>
        <v>0</v>
      </c>
      <c r="E62" s="80">
        <f t="shared" si="18"/>
        <v>0</v>
      </c>
      <c r="F62" s="80">
        <f t="shared" si="18"/>
        <v>0</v>
      </c>
      <c r="G62" s="80">
        <f t="shared" si="18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159">
        <f t="shared" si="14"/>
        <v>0</v>
      </c>
      <c r="E63" s="155"/>
      <c r="F63" s="155"/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159">
        <f t="shared" si="14"/>
        <v>0</v>
      </c>
      <c r="E64" s="155"/>
      <c r="F64" s="155"/>
      <c r="G64" s="80">
        <f t="shared" ref="G64:G70" si="19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159">
        <f t="shared" si="14"/>
        <v>0</v>
      </c>
      <c r="E65" s="155"/>
      <c r="F65" s="155"/>
      <c r="G65" s="80">
        <f t="shared" si="19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159">
        <f t="shared" si="14"/>
        <v>0</v>
      </c>
      <c r="E66" s="155"/>
      <c r="F66" s="155"/>
      <c r="G66" s="80">
        <f t="shared" si="19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159">
        <f t="shared" si="14"/>
        <v>0</v>
      </c>
      <c r="E67" s="155"/>
      <c r="F67" s="155"/>
      <c r="G67" s="80">
        <f t="shared" si="19"/>
        <v>0</v>
      </c>
    </row>
    <row r="68" spans="1:7" x14ac:dyDescent="0.25">
      <c r="A68" s="84" t="s">
        <v>3302</v>
      </c>
      <c r="B68" s="80">
        <v>0</v>
      </c>
      <c r="C68" s="80">
        <v>0</v>
      </c>
      <c r="D68" s="159">
        <f t="shared" si="14"/>
        <v>0</v>
      </c>
      <c r="E68" s="155"/>
      <c r="F68" s="155"/>
      <c r="G68" s="80">
        <f t="shared" si="19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159">
        <f t="shared" si="14"/>
        <v>0</v>
      </c>
      <c r="E69" s="155"/>
      <c r="F69" s="155"/>
      <c r="G69" s="80">
        <f t="shared" si="19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159">
        <f t="shared" si="14"/>
        <v>0</v>
      </c>
      <c r="E70" s="155"/>
      <c r="F70" s="155"/>
      <c r="G70" s="80">
        <f t="shared" si="19"/>
        <v>0</v>
      </c>
    </row>
    <row r="71" spans="1:7" x14ac:dyDescent="0.25">
      <c r="A71" s="83" t="s">
        <v>347</v>
      </c>
      <c r="B71" s="80">
        <f>SUM(B72:B74)</f>
        <v>0</v>
      </c>
      <c r="C71" s="80">
        <f>SUM(C72:C74)</f>
        <v>150000</v>
      </c>
      <c r="D71" s="80">
        <f t="shared" ref="D71:G71" si="20">SUM(D72:D74)</f>
        <v>150000</v>
      </c>
      <c r="E71" s="80">
        <f t="shared" si="20"/>
        <v>150000</v>
      </c>
      <c r="F71" s="80">
        <f t="shared" si="20"/>
        <v>150000</v>
      </c>
      <c r="G71" s="80">
        <f t="shared" si="20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159">
        <f t="shared" si="14"/>
        <v>0</v>
      </c>
      <c r="E72" s="155"/>
      <c r="F72" s="155"/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159">
        <f t="shared" si="14"/>
        <v>0</v>
      </c>
      <c r="E73" s="155"/>
      <c r="F73" s="155"/>
      <c r="G73" s="80">
        <f t="shared" ref="G73:G74" si="21">D73-E73</f>
        <v>0</v>
      </c>
    </row>
    <row r="74" spans="1:7" x14ac:dyDescent="0.25">
      <c r="A74" s="84" t="s">
        <v>350</v>
      </c>
      <c r="B74" s="80">
        <v>0</v>
      </c>
      <c r="C74" s="170">
        <v>150000</v>
      </c>
      <c r="D74" s="159">
        <f t="shared" si="14"/>
        <v>150000</v>
      </c>
      <c r="E74" s="158">
        <v>150000</v>
      </c>
      <c r="F74" s="158">
        <v>150000</v>
      </c>
      <c r="G74" s="80">
        <f t="shared" si="21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2">SUM(C76:C82)</f>
        <v>0</v>
      </c>
      <c r="D75" s="80">
        <f t="shared" si="22"/>
        <v>0</v>
      </c>
      <c r="E75" s="80">
        <f t="shared" si="22"/>
        <v>0</v>
      </c>
      <c r="F75" s="80">
        <f t="shared" si="22"/>
        <v>0</v>
      </c>
      <c r="G75" s="80">
        <f t="shared" si="22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23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23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23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23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23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23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4">SUM(C85,C93,C103,C113,C123,C133,C137,C146,C150)</f>
        <v>0</v>
      </c>
      <c r="D84" s="79">
        <f t="shared" si="24"/>
        <v>0</v>
      </c>
      <c r="E84" s="79">
        <f t="shared" si="24"/>
        <v>0</v>
      </c>
      <c r="F84" s="79">
        <f t="shared" si="24"/>
        <v>0</v>
      </c>
      <c r="G84" s="79">
        <f t="shared" si="24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5">SUM(C86:C92)</f>
        <v>0</v>
      </c>
      <c r="D85" s="80">
        <f t="shared" si="25"/>
        <v>0</v>
      </c>
      <c r="E85" s="80">
        <f t="shared" si="25"/>
        <v>0</v>
      </c>
      <c r="F85" s="80">
        <f t="shared" si="25"/>
        <v>0</v>
      </c>
      <c r="G85" s="80">
        <f t="shared" si="25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6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6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6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6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6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6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7">SUM(C94:C102)</f>
        <v>0</v>
      </c>
      <c r="D93" s="80">
        <f t="shared" si="27"/>
        <v>0</v>
      </c>
      <c r="E93" s="80">
        <f t="shared" si="27"/>
        <v>0</v>
      </c>
      <c r="F93" s="80">
        <f t="shared" si="27"/>
        <v>0</v>
      </c>
      <c r="G93" s="80">
        <f t="shared" si="27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8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8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8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8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8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8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8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8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9">SUM(D104:D112)</f>
        <v>0</v>
      </c>
      <c r="E103" s="80">
        <f t="shared" si="29"/>
        <v>0</v>
      </c>
      <c r="F103" s="80">
        <f t="shared" si="29"/>
        <v>0</v>
      </c>
      <c r="G103" s="80">
        <f t="shared" si="29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30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30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30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30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30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30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30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30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1">SUM(C114:C122)</f>
        <v>0</v>
      </c>
      <c r="D113" s="80">
        <f t="shared" si="31"/>
        <v>0</v>
      </c>
      <c r="E113" s="80">
        <f t="shared" si="31"/>
        <v>0</v>
      </c>
      <c r="F113" s="80">
        <f t="shared" si="31"/>
        <v>0</v>
      </c>
      <c r="G113" s="80">
        <f t="shared" si="31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32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32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32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32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32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32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32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32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3">SUM(C124:C132)</f>
        <v>0</v>
      </c>
      <c r="D123" s="80">
        <f t="shared" si="33"/>
        <v>0</v>
      </c>
      <c r="E123" s="80">
        <f t="shared" si="33"/>
        <v>0</v>
      </c>
      <c r="F123" s="80">
        <f t="shared" si="33"/>
        <v>0</v>
      </c>
      <c r="G123" s="80">
        <f t="shared" si="33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34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34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34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34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34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34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34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34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5">SUM(C134:C136)</f>
        <v>0</v>
      </c>
      <c r="D133" s="80">
        <f t="shared" si="35"/>
        <v>0</v>
      </c>
      <c r="E133" s="80">
        <f t="shared" si="35"/>
        <v>0</v>
      </c>
      <c r="F133" s="80">
        <f t="shared" si="35"/>
        <v>0</v>
      </c>
      <c r="G133" s="80">
        <f t="shared" si="35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6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6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7">SUM(C138:C142,C144:C145)</f>
        <v>0</v>
      </c>
      <c r="D137" s="80">
        <f t="shared" si="37"/>
        <v>0</v>
      </c>
      <c r="E137" s="80">
        <f t="shared" si="37"/>
        <v>0</v>
      </c>
      <c r="F137" s="80">
        <f t="shared" si="37"/>
        <v>0</v>
      </c>
      <c r="G137" s="80">
        <f t="shared" si="37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8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8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8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8"/>
        <v>0</v>
      </c>
    </row>
    <row r="143" spans="1:7" x14ac:dyDescent="0.25">
      <c r="A143" s="84" t="s">
        <v>3302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8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8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8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9">SUM(C147:C149)</f>
        <v>0</v>
      </c>
      <c r="D146" s="80">
        <f t="shared" si="39"/>
        <v>0</v>
      </c>
      <c r="E146" s="80">
        <f t="shared" si="39"/>
        <v>0</v>
      </c>
      <c r="F146" s="80">
        <f t="shared" si="39"/>
        <v>0</v>
      </c>
      <c r="G146" s="80">
        <f t="shared" si="39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40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40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1">SUM(C151:C157)</f>
        <v>0</v>
      </c>
      <c r="D150" s="80">
        <f t="shared" si="41"/>
        <v>0</v>
      </c>
      <c r="E150" s="80">
        <f t="shared" si="41"/>
        <v>0</v>
      </c>
      <c r="F150" s="80">
        <f t="shared" si="41"/>
        <v>0</v>
      </c>
      <c r="G150" s="80">
        <f t="shared" si="41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42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42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42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42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42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42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31830196</v>
      </c>
      <c r="C159" s="79">
        <f>C9+C84</f>
        <v>13000527.689999999</v>
      </c>
      <c r="D159" s="79">
        <f t="shared" ref="D159:G159" si="43">D9+D84</f>
        <v>44830723.690000005</v>
      </c>
      <c r="E159" s="79">
        <f t="shared" si="43"/>
        <v>37699734.420000002</v>
      </c>
      <c r="F159" s="79">
        <f t="shared" si="43"/>
        <v>37396918.49000001</v>
      </c>
      <c r="G159" s="79">
        <f t="shared" si="43"/>
        <v>7130989.2700000023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31830196</v>
      </c>
      <c r="Q2" s="18">
        <f>'Formato 6 a)'!C9</f>
        <v>13000527.689999999</v>
      </c>
      <c r="R2" s="18">
        <f>'Formato 6 a)'!D9</f>
        <v>44830723.690000005</v>
      </c>
      <c r="S2" s="18">
        <f>'Formato 6 a)'!E9</f>
        <v>37699734.420000002</v>
      </c>
      <c r="T2" s="18">
        <f>'Formato 6 a)'!F9</f>
        <v>37396918.49000001</v>
      </c>
      <c r="U2" s="18">
        <f>'Formato 6 a)'!G9</f>
        <v>7130989.2700000023</v>
      </c>
    </row>
    <row r="3" spans="1: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19992071.75</v>
      </c>
      <c r="Q3" s="18">
        <f>'Formato 6 a)'!C10</f>
        <v>-448398.81</v>
      </c>
      <c r="R3" s="18">
        <f>'Formato 6 a)'!D10</f>
        <v>19543672.940000001</v>
      </c>
      <c r="S3" s="18">
        <f>'Formato 6 a)'!E10</f>
        <v>17885260.540000003</v>
      </c>
      <c r="T3" s="18">
        <f>'Formato 6 a)'!F10</f>
        <v>17864905.140000004</v>
      </c>
      <c r="U3" s="18">
        <f>'Formato 6 a)'!G10</f>
        <v>1658412.4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13107617.279999999</v>
      </c>
      <c r="Q4" s="18">
        <f>'Formato 6 a)'!C11</f>
        <v>-601715.96</v>
      </c>
      <c r="R4" s="18">
        <f>'Formato 6 a)'!D11</f>
        <v>12505901.32</v>
      </c>
      <c r="S4" s="18">
        <f>'Formato 6 a)'!E11</f>
        <v>11380532.82</v>
      </c>
      <c r="T4" s="18">
        <f>'Formato 6 a)'!F11</f>
        <v>11380532.82</v>
      </c>
      <c r="U4" s="18">
        <f>'Formato 6 a)'!G11</f>
        <v>1125368.5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3703324.69</v>
      </c>
      <c r="Q5" s="18">
        <f>'Formato 6 a)'!C12</f>
        <v>525299.84</v>
      </c>
      <c r="R5" s="18">
        <f>'Formato 6 a)'!D12</f>
        <v>4228624.53</v>
      </c>
      <c r="S5" s="18">
        <f>'Formato 6 a)'!E12</f>
        <v>4139303.27</v>
      </c>
      <c r="T5" s="18">
        <f>'Formato 6 a)'!F12</f>
        <v>4118947.87</v>
      </c>
      <c r="U5" s="18">
        <f>'Formato 6 a)'!G12</f>
        <v>89321.260000000242</v>
      </c>
      <c r="V5" s="18"/>
    </row>
    <row r="6" spans="1: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2351629.7799999998</v>
      </c>
      <c r="Q6" s="18">
        <f>'Formato 6 a)'!C13</f>
        <v>-137589.69</v>
      </c>
      <c r="R6" s="18">
        <f>'Formato 6 a)'!D13</f>
        <v>2214040.09</v>
      </c>
      <c r="S6" s="18">
        <f>'Formato 6 a)'!E13</f>
        <v>1835289.78</v>
      </c>
      <c r="T6" s="18">
        <f>'Formato 6 a)'!F13</f>
        <v>1835289.78</v>
      </c>
      <c r="U6" s="18">
        <f>'Formato 6 a)'!G13</f>
        <v>378750.30999999982</v>
      </c>
      <c r="V6" s="18"/>
    </row>
    <row r="7" spans="1: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829500</v>
      </c>
      <c r="Q8" s="18">
        <f>'Formato 6 a)'!C15</f>
        <v>-234393</v>
      </c>
      <c r="R8" s="18">
        <f>'Formato 6 a)'!D15</f>
        <v>595107</v>
      </c>
      <c r="S8" s="18">
        <f>'Formato 6 a)'!E15</f>
        <v>530134.67000000004</v>
      </c>
      <c r="T8" s="18">
        <f>'Formato 6 a)'!F15</f>
        <v>530134.67000000004</v>
      </c>
      <c r="U8" s="18">
        <f>'Formato 6 a)'!G15</f>
        <v>64972.329999999958</v>
      </c>
    </row>
    <row r="9" spans="1: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3325314</v>
      </c>
      <c r="Q11" s="18">
        <f>'Formato 6 a)'!C18</f>
        <v>396577.73</v>
      </c>
      <c r="R11" s="18">
        <f>'Formato 6 a)'!D18</f>
        <v>3721891.73</v>
      </c>
      <c r="S11" s="18">
        <f>'Formato 6 a)'!E18</f>
        <v>3251298.7</v>
      </c>
      <c r="T11" s="18">
        <f>'Formato 6 a)'!F18</f>
        <v>3189025.57</v>
      </c>
      <c r="U11" s="18">
        <f>'Formato 6 a)'!G18</f>
        <v>470593.03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418700</v>
      </c>
      <c r="Q12" s="18">
        <f>'Formato 6 a)'!C19</f>
        <v>159560.94</v>
      </c>
      <c r="R12" s="18">
        <f>'Formato 6 a)'!D19</f>
        <v>578260.93999999994</v>
      </c>
      <c r="S12" s="18">
        <f>'Formato 6 a)'!E19</f>
        <v>463571.88</v>
      </c>
      <c r="T12" s="18">
        <f>'Formato 6 a)'!F19</f>
        <v>463571.88</v>
      </c>
      <c r="U12" s="18">
        <f>'Formato 6 a)'!G19</f>
        <v>114689.05999999994</v>
      </c>
    </row>
    <row r="13" spans="1: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866000</v>
      </c>
      <c r="Q13" s="18">
        <f>'Formato 6 a)'!C20</f>
        <v>-1000</v>
      </c>
      <c r="R13" s="18">
        <f>'Formato 6 a)'!D20</f>
        <v>865000</v>
      </c>
      <c r="S13" s="18">
        <f>'Formato 6 a)'!E20</f>
        <v>678738.57</v>
      </c>
      <c r="T13" s="18">
        <f>'Formato 6 a)'!F20</f>
        <v>678353.57</v>
      </c>
      <c r="U13" s="18">
        <f>'Formato 6 a)'!G20</f>
        <v>186261.43000000005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210000</v>
      </c>
      <c r="Q15" s="18">
        <f>'Formato 6 a)'!C22</f>
        <v>15000</v>
      </c>
      <c r="R15" s="18">
        <f>'Formato 6 a)'!D22</f>
        <v>225000</v>
      </c>
      <c r="S15" s="18">
        <f>'Formato 6 a)'!E22</f>
        <v>190869.74</v>
      </c>
      <c r="T15" s="18">
        <f>'Formato 6 a)'!F22</f>
        <v>190869.74</v>
      </c>
      <c r="U15" s="18">
        <f>'Formato 6 a)'!G22</f>
        <v>34130.260000000009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542000</v>
      </c>
      <c r="Q16" s="18">
        <f>'Formato 6 a)'!C23</f>
        <v>301606.73</v>
      </c>
      <c r="R16" s="18">
        <f>'Formato 6 a)'!D23</f>
        <v>843606.73</v>
      </c>
      <c r="S16" s="18">
        <f>'Formato 6 a)'!E23</f>
        <v>798937.59999999998</v>
      </c>
      <c r="T16" s="18">
        <f>'Formato 6 a)'!F23</f>
        <v>737049.47</v>
      </c>
      <c r="U16" s="18">
        <f>'Formato 6 a)'!G23</f>
        <v>44669.130000000005</v>
      </c>
    </row>
    <row r="17" spans="1:21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1090000</v>
      </c>
      <c r="Q17" s="18">
        <f>'Formato 6 a)'!C24</f>
        <v>-83995.94</v>
      </c>
      <c r="R17" s="18">
        <f>'Formato 6 a)'!D24</f>
        <v>1006004.06</v>
      </c>
      <c r="S17" s="18">
        <f>'Formato 6 a)'!E24</f>
        <v>952625.37</v>
      </c>
      <c r="T17" s="18">
        <f>'Formato 6 a)'!F24</f>
        <v>952625.37</v>
      </c>
      <c r="U17" s="18">
        <f>'Formato 6 a)'!G24</f>
        <v>53378.690000000061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59114</v>
      </c>
      <c r="Q18" s="18">
        <f>'Formato 6 a)'!C25</f>
        <v>20000</v>
      </c>
      <c r="R18" s="18">
        <f>'Formato 6 a)'!D25</f>
        <v>79114</v>
      </c>
      <c r="S18" s="18">
        <f>'Formato 6 a)'!E25</f>
        <v>70310.89</v>
      </c>
      <c r="T18" s="18">
        <f>'Formato 6 a)'!F25</f>
        <v>70310.89</v>
      </c>
      <c r="U18" s="18">
        <f>'Formato 6 a)'!G25</f>
        <v>8803.11</v>
      </c>
    </row>
    <row r="19" spans="1:21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139500</v>
      </c>
      <c r="Q20" s="18">
        <f>'Formato 6 a)'!C27</f>
        <v>-14594</v>
      </c>
      <c r="R20" s="18">
        <f>'Formato 6 a)'!D27</f>
        <v>124906</v>
      </c>
      <c r="S20" s="18">
        <f>'Formato 6 a)'!E27</f>
        <v>96244.65</v>
      </c>
      <c r="T20" s="18">
        <f>'Formato 6 a)'!F27</f>
        <v>96244.65</v>
      </c>
      <c r="U20" s="18">
        <f>'Formato 6 a)'!G27</f>
        <v>28661.350000000006</v>
      </c>
    </row>
    <row r="21" spans="1:21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3607511.64</v>
      </c>
      <c r="Q21" s="18">
        <f>'Formato 6 a)'!C28</f>
        <v>715972.21</v>
      </c>
      <c r="R21" s="18">
        <f>'Formato 6 a)'!D28</f>
        <v>4323483.8499999996</v>
      </c>
      <c r="S21" s="18">
        <f>'Formato 6 a)'!E28</f>
        <v>3687153.28</v>
      </c>
      <c r="T21" s="18">
        <f>'Formato 6 a)'!F28</f>
        <v>3550971.28</v>
      </c>
      <c r="U21" s="18">
        <f>'Formato 6 a)'!G28</f>
        <v>636330.57000000007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410500</v>
      </c>
      <c r="Q22" s="18">
        <f>'Formato 6 a)'!C29</f>
        <v>42000</v>
      </c>
      <c r="R22" s="18">
        <f>'Formato 6 a)'!D29</f>
        <v>452500</v>
      </c>
      <c r="S22" s="18">
        <f>'Formato 6 a)'!E29</f>
        <v>395332.73</v>
      </c>
      <c r="T22" s="18">
        <f>'Formato 6 a)'!F29</f>
        <v>372399.73</v>
      </c>
      <c r="U22" s="18">
        <f>'Formato 6 a)'!G29</f>
        <v>57167.270000000019</v>
      </c>
    </row>
    <row r="23" spans="1:21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50000</v>
      </c>
      <c r="Q23" s="18">
        <f>'Formato 6 a)'!C30</f>
        <v>96000</v>
      </c>
      <c r="R23" s="18">
        <f>'Formato 6 a)'!D30</f>
        <v>146000</v>
      </c>
      <c r="S23" s="18">
        <f>'Formato 6 a)'!E30</f>
        <v>116000</v>
      </c>
      <c r="T23" s="18">
        <f>'Formato 6 a)'!F30</f>
        <v>116000</v>
      </c>
      <c r="U23" s="18">
        <f>'Formato 6 a)'!G30</f>
        <v>30000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378000</v>
      </c>
      <c r="Q24" s="18">
        <f>'Formato 6 a)'!C31</f>
        <v>30885</v>
      </c>
      <c r="R24" s="18">
        <f>'Formato 6 a)'!D31</f>
        <v>408885</v>
      </c>
      <c r="S24" s="18">
        <f>'Formato 6 a)'!E31</f>
        <v>327378.7</v>
      </c>
      <c r="T24" s="18">
        <f>'Formato 6 a)'!F31</f>
        <v>327378.7</v>
      </c>
      <c r="U24" s="18">
        <f>'Formato 6 a)'!G31</f>
        <v>81506.299999999988</v>
      </c>
    </row>
    <row r="25" spans="1:21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266500</v>
      </c>
      <c r="Q25" s="18">
        <f>'Formato 6 a)'!C32</f>
        <v>-96500</v>
      </c>
      <c r="R25" s="18">
        <f>'Formato 6 a)'!D32</f>
        <v>170000</v>
      </c>
      <c r="S25" s="18">
        <f>'Formato 6 a)'!E32</f>
        <v>161712.85999999999</v>
      </c>
      <c r="T25" s="18">
        <f>'Formato 6 a)'!F32</f>
        <v>161712.85999999999</v>
      </c>
      <c r="U25" s="18">
        <f>'Formato 6 a)'!G32</f>
        <v>8287.140000000014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955400</v>
      </c>
      <c r="Q26" s="18">
        <f>'Formato 6 a)'!C33</f>
        <v>123824.51</v>
      </c>
      <c r="R26" s="18">
        <f>'Formato 6 a)'!D33</f>
        <v>1079224.51</v>
      </c>
      <c r="S26" s="18">
        <f>'Formato 6 a)'!E33</f>
        <v>983356.42</v>
      </c>
      <c r="T26" s="18">
        <f>'Formato 6 a)'!F33</f>
        <v>870575.42</v>
      </c>
      <c r="U26" s="18">
        <f>'Formato 6 a)'!G33</f>
        <v>95868.089999999967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357200</v>
      </c>
      <c r="Q27" s="18">
        <f>'Formato 6 a)'!C34</f>
        <v>-33700</v>
      </c>
      <c r="R27" s="18">
        <f>'Formato 6 a)'!D34</f>
        <v>323500</v>
      </c>
      <c r="S27" s="18">
        <f>'Formato 6 a)'!E34</f>
        <v>162777</v>
      </c>
      <c r="T27" s="18">
        <f>'Formato 6 a)'!F34</f>
        <v>162777</v>
      </c>
      <c r="U27" s="18">
        <f>'Formato 6 a)'!G34</f>
        <v>160723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165000</v>
      </c>
      <c r="Q28" s="18">
        <f>'Formato 6 a)'!C35</f>
        <v>23306</v>
      </c>
      <c r="R28" s="18">
        <f>'Formato 6 a)'!D35</f>
        <v>188306</v>
      </c>
      <c r="S28" s="18">
        <f>'Formato 6 a)'!E35</f>
        <v>138906</v>
      </c>
      <c r="T28" s="18">
        <f>'Formato 6 a)'!F35</f>
        <v>138906</v>
      </c>
      <c r="U28" s="18">
        <f>'Formato 6 a)'!G35</f>
        <v>49400</v>
      </c>
    </row>
    <row r="29" spans="1:21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630000</v>
      </c>
      <c r="Q29" s="18">
        <f>'Formato 6 a)'!C36</f>
        <v>466533.7</v>
      </c>
      <c r="R29" s="18">
        <f>'Formato 6 a)'!D36</f>
        <v>1096533.7</v>
      </c>
      <c r="S29" s="18">
        <f>'Formato 6 a)'!E36</f>
        <v>985925.73</v>
      </c>
      <c r="T29" s="18">
        <f>'Formato 6 a)'!F36</f>
        <v>985925.73</v>
      </c>
      <c r="U29" s="18">
        <f>'Formato 6 a)'!G36</f>
        <v>110607.96999999997</v>
      </c>
    </row>
    <row r="30" spans="1:21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394911.64</v>
      </c>
      <c r="Q30" s="18">
        <f>'Formato 6 a)'!C37</f>
        <v>63623</v>
      </c>
      <c r="R30" s="18">
        <f>'Formato 6 a)'!D37</f>
        <v>458534.64</v>
      </c>
      <c r="S30" s="18">
        <f>'Formato 6 a)'!E37</f>
        <v>415763.84</v>
      </c>
      <c r="T30" s="18">
        <f>'Formato 6 a)'!F37</f>
        <v>415295.84</v>
      </c>
      <c r="U30" s="18">
        <f>'Formato 6 a)'!G37</f>
        <v>42770.799999999988</v>
      </c>
    </row>
    <row r="31" spans="1:21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3958298.61</v>
      </c>
      <c r="Q31" s="18">
        <f>'Formato 6 a)'!C38</f>
        <v>5461516.6299999999</v>
      </c>
      <c r="R31" s="18">
        <f>'Formato 6 a)'!D38</f>
        <v>9419815.2400000002</v>
      </c>
      <c r="S31" s="18">
        <f>'Formato 6 a)'!E38</f>
        <v>8801091.6199999992</v>
      </c>
      <c r="T31" s="18">
        <f>'Formato 6 a)'!F38</f>
        <v>8717086.2200000007</v>
      </c>
      <c r="U31" s="18">
        <f>'Formato 6 a)'!G38</f>
        <v>618723.62000000174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3826699.83</v>
      </c>
      <c r="Q35" s="18">
        <f>'Formato 6 a)'!C42</f>
        <v>5461516.6299999999</v>
      </c>
      <c r="R35" s="18">
        <f>'Formato 6 a)'!D42</f>
        <v>9288216.4600000009</v>
      </c>
      <c r="S35" s="18">
        <f>'Formato 6 a)'!E42</f>
        <v>8669494.6199999992</v>
      </c>
      <c r="T35" s="18">
        <f>'Formato 6 a)'!F42</f>
        <v>8585489.2200000007</v>
      </c>
      <c r="U35" s="18">
        <f>'Formato 6 a)'!G42</f>
        <v>618721.84000000171</v>
      </c>
    </row>
    <row r="36" spans="1:21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131598.78</v>
      </c>
      <c r="Q36" s="18">
        <f>'Formato 6 a)'!C43</f>
        <v>0</v>
      </c>
      <c r="R36" s="18">
        <f>'Formato 6 a)'!D43</f>
        <v>131598.78</v>
      </c>
      <c r="S36" s="18">
        <f>'Formato 6 a)'!E43</f>
        <v>131597</v>
      </c>
      <c r="T36" s="18">
        <f>'Formato 6 a)'!F43</f>
        <v>131597</v>
      </c>
      <c r="U36" s="18">
        <f>'Formato 6 a)'!G43</f>
        <v>1.7799999999988358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947000</v>
      </c>
      <c r="Q41" s="18">
        <f>'Formato 6 a)'!C48</f>
        <v>568413.68000000005</v>
      </c>
      <c r="R41" s="18">
        <f>'Formato 6 a)'!D48</f>
        <v>1515413.68</v>
      </c>
      <c r="S41" s="18">
        <f>'Formato 6 a)'!E48</f>
        <v>1317660</v>
      </c>
      <c r="T41" s="18">
        <f>'Formato 6 a)'!F48</f>
        <v>1317660</v>
      </c>
      <c r="U41" s="18">
        <f>'Formato 6 a)'!G48</f>
        <v>197753.68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402000</v>
      </c>
      <c r="Q42" s="18">
        <f>'Formato 6 a)'!C49</f>
        <v>26462.67</v>
      </c>
      <c r="R42" s="18">
        <f>'Formato 6 a)'!D49</f>
        <v>428462.67</v>
      </c>
      <c r="S42" s="18">
        <f>'Formato 6 a)'!E49</f>
        <v>318349.99</v>
      </c>
      <c r="T42" s="18">
        <f>'Formato 6 a)'!F49</f>
        <v>318349.99</v>
      </c>
      <c r="U42" s="18">
        <f>'Formato 6 a)'!G49</f>
        <v>110112.68</v>
      </c>
    </row>
    <row r="43" spans="1:21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80000</v>
      </c>
      <c r="Q43" s="18">
        <f>'Formato 6 a)'!C50</f>
        <v>645362.96</v>
      </c>
      <c r="R43" s="18">
        <f>'Formato 6 a)'!D50</f>
        <v>725362.96</v>
      </c>
      <c r="S43" s="18">
        <f>'Formato 6 a)'!E50</f>
        <v>645362.96</v>
      </c>
      <c r="T43" s="18">
        <f>'Formato 6 a)'!F50</f>
        <v>645362.96</v>
      </c>
      <c r="U43" s="18">
        <f>'Formato 6 a)'!G50</f>
        <v>80000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100000</v>
      </c>
      <c r="Q44" s="18">
        <f>'Formato 6 a)'!C51</f>
        <v>-86464.75</v>
      </c>
      <c r="R44" s="18">
        <f>'Formato 6 a)'!D51</f>
        <v>13535.25</v>
      </c>
      <c r="S44" s="18">
        <f>'Formato 6 a)'!E51</f>
        <v>13535.25</v>
      </c>
      <c r="T44" s="18">
        <f>'Formato 6 a)'!F51</f>
        <v>13535.25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350000</v>
      </c>
      <c r="Q45" s="18">
        <f>'Formato 6 a)'!C52</f>
        <v>-31100</v>
      </c>
      <c r="R45" s="18">
        <f>'Formato 6 a)'!D52</f>
        <v>318900</v>
      </c>
      <c r="S45" s="18">
        <f>'Formato 6 a)'!E52</f>
        <v>318900</v>
      </c>
      <c r="T45" s="18">
        <f>'Formato 6 a)'!F52</f>
        <v>318900</v>
      </c>
      <c r="U45" s="18">
        <f>'Formato 6 a)'!G52</f>
        <v>0</v>
      </c>
    </row>
    <row r="46" spans="1:21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15000</v>
      </c>
      <c r="Q47" s="18">
        <f>'Formato 6 a)'!C54</f>
        <v>14152.8</v>
      </c>
      <c r="R47" s="18">
        <f>'Formato 6 a)'!D54</f>
        <v>29152.799999999999</v>
      </c>
      <c r="S47" s="18">
        <f>'Formato 6 a)'!E54</f>
        <v>21511.8</v>
      </c>
      <c r="T47" s="18">
        <f>'Formato 6 a)'!F54</f>
        <v>21511.8</v>
      </c>
      <c r="U47" s="18">
        <f>'Formato 6 a)'!G54</f>
        <v>7641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6156446.25</v>
      </c>
      <c r="R51" s="18">
        <f>'Formato 6 a)'!D58</f>
        <v>6156446.25</v>
      </c>
      <c r="S51" s="18">
        <f>'Formato 6 a)'!E58</f>
        <v>2607270.2799999998</v>
      </c>
      <c r="T51" s="18">
        <f>'Formato 6 a)'!F58</f>
        <v>2607270.2799999998</v>
      </c>
      <c r="U51" s="18">
        <f>'Formato 6 a)'!G58</f>
        <v>3549175.97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6156446.25</v>
      </c>
      <c r="R53" s="18">
        <f>'Formato 6 a)'!D60</f>
        <v>6156446.25</v>
      </c>
      <c r="S53" s="18">
        <f>'Formato 6 a)'!E60</f>
        <v>2607270.2799999998</v>
      </c>
      <c r="T53" s="18">
        <f>'Formato 6 a)'!F60</f>
        <v>2607270.2799999998</v>
      </c>
      <c r="U53" s="18">
        <f>'Formato 6 a)'!G60</f>
        <v>3549175.97</v>
      </c>
    </row>
    <row r="54" spans="1:21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150000</v>
      </c>
      <c r="R64" s="18">
        <f>'Formato 6 a)'!D71</f>
        <v>150000</v>
      </c>
      <c r="S64" s="18">
        <f>'Formato 6 a)'!E71</f>
        <v>150000</v>
      </c>
      <c r="T64" s="18">
        <f>'Formato 6 a)'!F71</f>
        <v>150000</v>
      </c>
      <c r="U64" s="18">
        <f>'Formato 6 a)'!G71</f>
        <v>0</v>
      </c>
    </row>
    <row r="65" spans="1:21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150000</v>
      </c>
      <c r="R67" s="18">
        <f>'Formato 6 a)'!D74</f>
        <v>150000</v>
      </c>
      <c r="S67" s="18">
        <f>'Formato 6 a)'!E74</f>
        <v>150000</v>
      </c>
      <c r="T67" s="18">
        <f>'Formato 6 a)'!F74</f>
        <v>150000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31830196</v>
      </c>
      <c r="Q150">
        <f>'Formato 6 a)'!C159</f>
        <v>13000527.689999999</v>
      </c>
      <c r="R150">
        <f>'Formato 6 a)'!D159</f>
        <v>44830723.690000005</v>
      </c>
      <c r="S150">
        <f>'Formato 6 a)'!E159</f>
        <v>37699734.420000002</v>
      </c>
      <c r="T150">
        <f>'Formato 6 a)'!F159</f>
        <v>37396918.49000001</v>
      </c>
      <c r="U150">
        <f>'Formato 6 a)'!G159</f>
        <v>7130989.2700000023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7"/>
  <sheetViews>
    <sheetView showGridLines="0" zoomScale="90" zoomScaleNormal="90" workbookViewId="0">
      <selection activeCell="F17" sqref="F1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04" t="s">
        <v>3291</v>
      </c>
      <c r="B1" s="204"/>
      <c r="C1" s="204"/>
      <c r="D1" s="204"/>
      <c r="E1" s="204"/>
      <c r="F1" s="204"/>
      <c r="G1" s="204"/>
    </row>
    <row r="2" spans="1:7" ht="14.25" x14ac:dyDescent="0.45">
      <c r="A2" s="185" t="str">
        <f>ENTE_PUBLICO_A</f>
        <v>ORGANISMO, Gobierno del Estado de Guanajuato (a)</v>
      </c>
      <c r="B2" s="186"/>
      <c r="C2" s="186"/>
      <c r="D2" s="186"/>
      <c r="E2" s="186"/>
      <c r="F2" s="186"/>
      <c r="G2" s="187"/>
    </row>
    <row r="3" spans="1:7" x14ac:dyDescent="0.25">
      <c r="A3" s="188" t="s">
        <v>277</v>
      </c>
      <c r="B3" s="189"/>
      <c r="C3" s="189"/>
      <c r="D3" s="189"/>
      <c r="E3" s="189"/>
      <c r="F3" s="189"/>
      <c r="G3" s="190"/>
    </row>
    <row r="4" spans="1:7" x14ac:dyDescent="0.25">
      <c r="A4" s="188" t="s">
        <v>431</v>
      </c>
      <c r="B4" s="189"/>
      <c r="C4" s="189"/>
      <c r="D4" s="189"/>
      <c r="E4" s="189"/>
      <c r="F4" s="189"/>
      <c r="G4" s="190"/>
    </row>
    <row r="5" spans="1:7" ht="14.25" x14ac:dyDescent="0.45">
      <c r="A5" s="191" t="str">
        <f>TRIMESTRE</f>
        <v>Del 1 de enero al 31 de diciembre de 2019 (b)</v>
      </c>
      <c r="B5" s="192"/>
      <c r="C5" s="192"/>
      <c r="D5" s="192"/>
      <c r="E5" s="192"/>
      <c r="F5" s="192"/>
      <c r="G5" s="193"/>
    </row>
    <row r="6" spans="1:7" ht="14.25" x14ac:dyDescent="0.45">
      <c r="A6" s="194" t="s">
        <v>118</v>
      </c>
      <c r="B6" s="195"/>
      <c r="C6" s="195"/>
      <c r="D6" s="195"/>
      <c r="E6" s="195"/>
      <c r="F6" s="195"/>
      <c r="G6" s="196"/>
    </row>
    <row r="7" spans="1:7" x14ac:dyDescent="0.25">
      <c r="A7" s="200" t="s">
        <v>0</v>
      </c>
      <c r="B7" s="202" t="s">
        <v>279</v>
      </c>
      <c r="C7" s="202"/>
      <c r="D7" s="202"/>
      <c r="E7" s="202"/>
      <c r="F7" s="202"/>
      <c r="G7" s="206" t="s">
        <v>280</v>
      </c>
    </row>
    <row r="8" spans="1:7" ht="30" x14ac:dyDescent="0.25">
      <c r="A8" s="201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05"/>
    </row>
    <row r="9" spans="1:7" ht="14.25" x14ac:dyDescent="0.45">
      <c r="A9" s="52" t="s">
        <v>440</v>
      </c>
      <c r="B9" s="59">
        <f>SUM(B10:GASTO_NE_FIN_01)</f>
        <v>31830196</v>
      </c>
      <c r="C9" s="59">
        <f>SUM(C10:GASTO_NE_FIN_02)</f>
        <v>13000527.689999998</v>
      </c>
      <c r="D9" s="59">
        <f>SUM(D10:GASTO_NE_FIN_03)</f>
        <v>44830723.689999998</v>
      </c>
      <c r="E9" s="59">
        <f>SUM(E10:GASTO_NE_FIN_04)</f>
        <v>37699734.420000002</v>
      </c>
      <c r="F9" s="59">
        <f>SUM(F10:GASTO_NE_FIN_05)</f>
        <v>37396918.489999995</v>
      </c>
      <c r="G9" s="59">
        <f>SUM(G10:GASTO_NE_FIN_06)</f>
        <v>7130989.2699999986</v>
      </c>
    </row>
    <row r="10" spans="1:7" s="24" customFormat="1" x14ac:dyDescent="0.25">
      <c r="A10" s="24" t="s">
        <v>3304</v>
      </c>
      <c r="B10" s="24">
        <v>9547695.2400000002</v>
      </c>
      <c r="C10" s="176">
        <v>1019407.6</v>
      </c>
      <c r="D10" s="60">
        <f>+B10+C10</f>
        <v>10567102.84</v>
      </c>
      <c r="E10" s="176">
        <v>9888794.4700000007</v>
      </c>
      <c r="F10" s="176">
        <v>9698237.3399999999</v>
      </c>
      <c r="G10" s="77">
        <f>D10-E10</f>
        <v>678308.36999999918</v>
      </c>
    </row>
    <row r="11" spans="1:7" s="24" customFormat="1" x14ac:dyDescent="0.25">
      <c r="A11" s="24" t="s">
        <v>3305</v>
      </c>
      <c r="B11" s="24">
        <v>2879536.1</v>
      </c>
      <c r="C11" s="176">
        <v>3630042.46</v>
      </c>
      <c r="D11" s="60">
        <f t="shared" ref="D11:D22" si="0">+B11+C11</f>
        <v>6509578.5600000005</v>
      </c>
      <c r="E11" s="176">
        <v>2593678.9700000002</v>
      </c>
      <c r="F11" s="176">
        <v>2592880.9700000002</v>
      </c>
      <c r="G11" s="77">
        <f t="shared" ref="G11:G22" si="1">D11-E11</f>
        <v>3915899.5900000003</v>
      </c>
    </row>
    <row r="12" spans="1:7" s="24" customFormat="1" x14ac:dyDescent="0.25">
      <c r="A12" s="24" t="s">
        <v>3306</v>
      </c>
      <c r="B12" s="24">
        <v>879614.42</v>
      </c>
      <c r="C12" s="176">
        <v>1949</v>
      </c>
      <c r="D12" s="60">
        <f t="shared" si="0"/>
        <v>881563.42</v>
      </c>
      <c r="E12" s="176">
        <v>514177.26</v>
      </c>
      <c r="F12" s="176">
        <v>514177.26</v>
      </c>
      <c r="G12" s="77">
        <f t="shared" si="1"/>
        <v>367386.16000000003</v>
      </c>
    </row>
    <row r="13" spans="1:7" s="24" customFormat="1" x14ac:dyDescent="0.25">
      <c r="A13" s="24" t="s">
        <v>3307</v>
      </c>
      <c r="B13" s="24">
        <v>2623347.9</v>
      </c>
      <c r="C13" s="176">
        <v>2841073.38</v>
      </c>
      <c r="D13" s="60">
        <f t="shared" si="0"/>
        <v>5464421.2799999993</v>
      </c>
      <c r="E13" s="176">
        <v>4766793.76</v>
      </c>
      <c r="F13" s="176">
        <v>4683571.8600000003</v>
      </c>
      <c r="G13" s="77">
        <f t="shared" si="1"/>
        <v>697627.51999999955</v>
      </c>
    </row>
    <row r="14" spans="1:7" s="24" customFormat="1" x14ac:dyDescent="0.25">
      <c r="A14" s="24" t="s">
        <v>3308</v>
      </c>
      <c r="B14" s="24">
        <v>1964950.41</v>
      </c>
      <c r="C14" s="176">
        <v>-223705.59</v>
      </c>
      <c r="D14" s="60">
        <f t="shared" si="0"/>
        <v>1741244.8199999998</v>
      </c>
      <c r="E14" s="176">
        <v>1636726.96</v>
      </c>
      <c r="F14" s="176">
        <v>1636726.96</v>
      </c>
      <c r="G14" s="77">
        <f t="shared" si="1"/>
        <v>104517.85999999987</v>
      </c>
    </row>
    <row r="15" spans="1:7" s="24" customFormat="1" x14ac:dyDescent="0.25">
      <c r="A15" s="24" t="s">
        <v>3309</v>
      </c>
      <c r="B15" s="24">
        <v>1139277.77</v>
      </c>
      <c r="C15" s="176">
        <v>-53527.199999999997</v>
      </c>
      <c r="D15" s="60">
        <f t="shared" si="0"/>
        <v>1085750.57</v>
      </c>
      <c r="E15" s="176">
        <v>907432.99</v>
      </c>
      <c r="F15" s="176">
        <v>906883.99</v>
      </c>
      <c r="G15" s="77">
        <f t="shared" si="1"/>
        <v>178317.58000000007</v>
      </c>
    </row>
    <row r="16" spans="1:7" s="24" customFormat="1" x14ac:dyDescent="0.25">
      <c r="A16" s="24" t="s">
        <v>3310</v>
      </c>
      <c r="B16" s="24">
        <v>2503543.91</v>
      </c>
      <c r="C16" s="176">
        <v>782469.64</v>
      </c>
      <c r="D16" s="60">
        <f t="shared" si="0"/>
        <v>3286013.5500000003</v>
      </c>
      <c r="E16" s="176">
        <v>3098420.06</v>
      </c>
      <c r="F16" s="176">
        <v>3097636.56</v>
      </c>
      <c r="G16" s="77">
        <f t="shared" si="1"/>
        <v>187593.49000000022</v>
      </c>
    </row>
    <row r="17" spans="1:7" s="24" customFormat="1" x14ac:dyDescent="0.25">
      <c r="A17" s="24" t="s">
        <v>3311</v>
      </c>
      <c r="B17" s="24">
        <v>5236202.46</v>
      </c>
      <c r="C17" s="176">
        <v>623318.94999999995</v>
      </c>
      <c r="D17" s="60">
        <f t="shared" si="0"/>
        <v>5859521.4100000001</v>
      </c>
      <c r="E17" s="176">
        <v>5641514.2199999997</v>
      </c>
      <c r="F17" s="176">
        <v>5620690.8200000003</v>
      </c>
      <c r="G17" s="77">
        <f t="shared" si="1"/>
        <v>218007.19000000041</v>
      </c>
    </row>
    <row r="18" spans="1:7" s="24" customFormat="1" x14ac:dyDescent="0.25">
      <c r="A18" s="24" t="s">
        <v>3312</v>
      </c>
      <c r="B18" s="24">
        <v>464361.28</v>
      </c>
      <c r="C18" s="176">
        <v>1358.03</v>
      </c>
      <c r="D18" s="60">
        <f t="shared" si="0"/>
        <v>465719.31000000006</v>
      </c>
      <c r="E18" s="176">
        <v>403852.4</v>
      </c>
      <c r="F18" s="176">
        <v>403852.4</v>
      </c>
      <c r="G18" s="77">
        <f t="shared" si="1"/>
        <v>61866.910000000033</v>
      </c>
    </row>
    <row r="19" spans="1:7" s="24" customFormat="1" x14ac:dyDescent="0.25">
      <c r="A19" s="24" t="s">
        <v>3313</v>
      </c>
      <c r="B19" s="24">
        <v>172446.05</v>
      </c>
      <c r="C19" s="176">
        <v>-2011</v>
      </c>
      <c r="D19" s="60">
        <f t="shared" si="0"/>
        <v>170435.05</v>
      </c>
      <c r="E19" s="176">
        <v>170431.12</v>
      </c>
      <c r="F19" s="176">
        <v>170431.12</v>
      </c>
      <c r="G19" s="77">
        <f t="shared" si="1"/>
        <v>3.9299999999930151</v>
      </c>
    </row>
    <row r="20" spans="1:7" s="24" customFormat="1" x14ac:dyDescent="0.25">
      <c r="A20" s="24" t="s">
        <v>3314</v>
      </c>
      <c r="B20" s="24">
        <v>974552.9</v>
      </c>
      <c r="C20" s="176">
        <v>80527.899999999994</v>
      </c>
      <c r="D20" s="60">
        <f t="shared" si="0"/>
        <v>1055080.8</v>
      </c>
      <c r="E20" s="176">
        <v>934828.73</v>
      </c>
      <c r="F20" s="176">
        <v>934828.73</v>
      </c>
      <c r="G20" s="77">
        <f t="shared" si="1"/>
        <v>120252.07000000007</v>
      </c>
    </row>
    <row r="21" spans="1:7" s="24" customFormat="1" x14ac:dyDescent="0.25">
      <c r="A21" s="24" t="s">
        <v>3315</v>
      </c>
      <c r="B21" s="24">
        <v>1601895.49</v>
      </c>
      <c r="C21" s="176">
        <v>4262680.01</v>
      </c>
      <c r="D21" s="60">
        <f t="shared" si="0"/>
        <v>5864575.5</v>
      </c>
      <c r="E21" s="176">
        <v>5596521.7300000004</v>
      </c>
      <c r="F21" s="176">
        <v>5596521.7300000004</v>
      </c>
      <c r="G21" s="77">
        <f t="shared" si="1"/>
        <v>268053.76999999955</v>
      </c>
    </row>
    <row r="22" spans="1:7" s="24" customFormat="1" x14ac:dyDescent="0.25">
      <c r="A22" s="24" t="s">
        <v>3316</v>
      </c>
      <c r="B22" s="24">
        <v>1842772.07</v>
      </c>
      <c r="C22" s="176">
        <v>36944.51</v>
      </c>
      <c r="D22" s="60">
        <f t="shared" si="0"/>
        <v>1879716.58</v>
      </c>
      <c r="E22" s="176">
        <v>1546561.75</v>
      </c>
      <c r="F22" s="176">
        <v>1540478.75</v>
      </c>
      <c r="G22" s="77">
        <f t="shared" si="1"/>
        <v>333154.83000000007</v>
      </c>
    </row>
    <row r="23" spans="1:7" s="24" customFormat="1" x14ac:dyDescent="0.25">
      <c r="A23" s="144"/>
      <c r="B23" s="60"/>
      <c r="C23" s="60"/>
      <c r="D23" s="60"/>
      <c r="E23" s="60"/>
      <c r="F23" s="60"/>
      <c r="G23" s="77"/>
    </row>
    <row r="24" spans="1:7" x14ac:dyDescent="0.25">
      <c r="A24" s="76" t="s">
        <v>686</v>
      </c>
      <c r="B24" s="54"/>
      <c r="C24" s="54"/>
      <c r="D24" s="54"/>
      <c r="E24" s="54"/>
      <c r="F24" s="54"/>
      <c r="G24" s="54"/>
    </row>
    <row r="25" spans="1:7" s="24" customFormat="1" x14ac:dyDescent="0.25">
      <c r="A25" s="55" t="s">
        <v>441</v>
      </c>
      <c r="B25" s="61">
        <f>SUM(B26:GASTO_E_FIN_01)</f>
        <v>0</v>
      </c>
      <c r="C25" s="61">
        <f>SUM(C26:GASTO_E_FIN_02)</f>
        <v>0</v>
      </c>
      <c r="D25" s="61">
        <f>SUM(D26:GASTO_E_FIN_03)</f>
        <v>0</v>
      </c>
      <c r="E25" s="61">
        <f>SUM(E26:GASTO_E_FIN_04)</f>
        <v>0</v>
      </c>
      <c r="F25" s="61">
        <f>SUM(F26:GASTO_E_FIN_05)</f>
        <v>0</v>
      </c>
      <c r="G25" s="61">
        <f>SUM(G26:GASTO_E_FIN_06)</f>
        <v>0</v>
      </c>
    </row>
    <row r="26" spans="1:7" s="24" customFormat="1" x14ac:dyDescent="0.25">
      <c r="A26" s="144" t="s">
        <v>432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>D26-E26</f>
        <v>0</v>
      </c>
    </row>
    <row r="27" spans="1:7" s="24" customFormat="1" ht="14.25" x14ac:dyDescent="0.25">
      <c r="A27" s="144" t="s">
        <v>433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ref="G27:G33" si="2">D27-E27</f>
        <v>0</v>
      </c>
    </row>
    <row r="28" spans="1:7" s="24" customFormat="1" ht="14.25" x14ac:dyDescent="0.25">
      <c r="A28" s="144" t="s">
        <v>434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f t="shared" si="2"/>
        <v>0</v>
      </c>
    </row>
    <row r="29" spans="1:7" s="24" customFormat="1" ht="14.25" x14ac:dyDescent="0.25">
      <c r="A29" s="144" t="s">
        <v>435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si="2"/>
        <v>0</v>
      </c>
    </row>
    <row r="30" spans="1:7" s="24" customFormat="1" ht="14.25" x14ac:dyDescent="0.25">
      <c r="A30" s="144" t="s">
        <v>436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2"/>
        <v>0</v>
      </c>
    </row>
    <row r="31" spans="1:7" s="24" customFormat="1" ht="14.25" x14ac:dyDescent="0.25">
      <c r="A31" s="144" t="s">
        <v>437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2"/>
        <v>0</v>
      </c>
    </row>
    <row r="32" spans="1:7" s="24" customFormat="1" ht="14.25" x14ac:dyDescent="0.25">
      <c r="A32" s="144" t="s">
        <v>438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2"/>
        <v>0</v>
      </c>
    </row>
    <row r="33" spans="1:7" s="24" customFormat="1" ht="14.25" x14ac:dyDescent="0.25">
      <c r="A33" s="144" t="s">
        <v>439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2"/>
        <v>0</v>
      </c>
    </row>
    <row r="34" spans="1:7" ht="14.25" x14ac:dyDescent="0.25">
      <c r="A34" s="76" t="s">
        <v>686</v>
      </c>
      <c r="B34" s="54"/>
      <c r="C34" s="54"/>
      <c r="D34" s="54"/>
      <c r="E34" s="54"/>
      <c r="F34" s="54"/>
      <c r="G34" s="54"/>
    </row>
    <row r="35" spans="1:7" ht="14.25" x14ac:dyDescent="0.25">
      <c r="A35" s="55" t="s">
        <v>360</v>
      </c>
      <c r="B35" s="61">
        <f>GASTO_NE_T1+GASTO_E_T1</f>
        <v>31830196</v>
      </c>
      <c r="C35" s="61">
        <f>GASTO_NE_T2+GASTO_E_T2</f>
        <v>13000527.689999998</v>
      </c>
      <c r="D35" s="61">
        <f>GASTO_NE_T3+GASTO_E_T3</f>
        <v>44830723.689999998</v>
      </c>
      <c r="E35" s="61">
        <f>GASTO_NE_T4+GASTO_E_T4</f>
        <v>37699734.420000002</v>
      </c>
      <c r="F35" s="61">
        <f>GASTO_NE_T5+GASTO_E_T5</f>
        <v>37396918.489999995</v>
      </c>
      <c r="G35" s="61">
        <f>GASTO_NE_T6+GASTO_E_T6</f>
        <v>7130989.2699999986</v>
      </c>
    </row>
    <row r="36" spans="1:7" ht="14.25" x14ac:dyDescent="0.25">
      <c r="A36" s="58"/>
      <c r="B36" s="65"/>
      <c r="C36" s="65"/>
      <c r="D36" s="65"/>
      <c r="E36" s="65"/>
      <c r="F36" s="65"/>
      <c r="G36" s="78"/>
    </row>
    <row r="37" spans="1:7" ht="14.25" hidden="1" x14ac:dyDescent="0.45">
      <c r="A37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35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31830196</v>
      </c>
      <c r="Q2" s="18">
        <f>GASTO_NE_T2</f>
        <v>13000527.689999998</v>
      </c>
      <c r="R2" s="18">
        <f>GASTO_NE_T3</f>
        <v>44830723.689999998</v>
      </c>
      <c r="S2" s="18">
        <f>GASTO_NE_T4</f>
        <v>37699734.420000002</v>
      </c>
      <c r="T2" s="18">
        <f>GASTO_NE_T5</f>
        <v>37396918.489999995</v>
      </c>
      <c r="U2" s="18">
        <f>GASTO_NE_T6</f>
        <v>7130989.2699999986</v>
      </c>
    </row>
    <row r="3" spans="1: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31830196</v>
      </c>
      <c r="Q4" s="18">
        <f>TOTAL_E_T2</f>
        <v>13000527.689999998</v>
      </c>
      <c r="R4" s="18">
        <f>TOTAL_E_T3</f>
        <v>44830723.689999998</v>
      </c>
      <c r="S4" s="18">
        <f>TOTAL_E_T4</f>
        <v>37699734.420000002</v>
      </c>
      <c r="T4" s="18">
        <f>TOTAL_E_T5</f>
        <v>37396918.489999995</v>
      </c>
      <c r="U4" s="18">
        <f>TOTAL_E_T6</f>
        <v>7130989.2699999986</v>
      </c>
      <c r="V4" s="18"/>
    </row>
    <row r="5" spans="1:25" x14ac:dyDescent="0.45">
      <c r="A5" s="3"/>
      <c r="P5" s="18"/>
      <c r="Q5" s="18"/>
      <c r="R5" s="18"/>
      <c r="S5" s="18"/>
      <c r="T5" s="18"/>
      <c r="U5" s="18"/>
      <c r="V5" s="18"/>
    </row>
    <row r="6" spans="1:25" x14ac:dyDescent="0.45">
      <c r="A6" s="3"/>
      <c r="P6" s="18"/>
      <c r="Q6" s="18"/>
      <c r="R6" s="18"/>
      <c r="S6" s="18"/>
      <c r="T6" s="18"/>
      <c r="U6" s="18"/>
      <c r="V6" s="18"/>
    </row>
    <row r="7" spans="1: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45">
      <c r="A8" s="3"/>
      <c r="P8" s="18"/>
      <c r="Q8" s="18"/>
      <c r="R8" s="18"/>
      <c r="S8" s="18"/>
      <c r="T8" s="18"/>
      <c r="U8" s="18"/>
    </row>
    <row r="9" spans="1:25" x14ac:dyDescent="0.45">
      <c r="A9" s="3"/>
      <c r="P9" s="18"/>
      <c r="Q9" s="18"/>
      <c r="R9" s="18"/>
      <c r="S9" s="18"/>
      <c r="T9" s="18"/>
      <c r="U9" s="18"/>
    </row>
    <row r="10" spans="1:25" x14ac:dyDescent="0.45">
      <c r="A10" s="3"/>
      <c r="P10" s="18"/>
      <c r="Q10" s="18"/>
      <c r="R10" s="18"/>
      <c r="S10" s="18"/>
      <c r="T10" s="18"/>
      <c r="U10" s="18"/>
    </row>
    <row r="11" spans="1:25" x14ac:dyDescent="0.45">
      <c r="A11" s="3"/>
      <c r="P11" s="18"/>
      <c r="Q11" s="18"/>
      <c r="R11" s="18"/>
      <c r="S11" s="18"/>
      <c r="T11" s="18"/>
      <c r="U11" s="18"/>
    </row>
    <row r="12" spans="1:25" x14ac:dyDescent="0.45">
      <c r="A12" s="3"/>
      <c r="N12" s="20"/>
      <c r="P12" s="18"/>
      <c r="Q12" s="18"/>
      <c r="R12" s="18"/>
      <c r="S12" s="18"/>
      <c r="T12" s="18"/>
      <c r="U12" s="18"/>
    </row>
    <row r="13" spans="1:25" x14ac:dyDescent="0.45">
      <c r="A13" s="3"/>
      <c r="P13" s="18"/>
      <c r="Q13" s="18"/>
      <c r="R13" s="18"/>
      <c r="S13" s="18"/>
      <c r="T13" s="18"/>
      <c r="U13" s="18"/>
    </row>
    <row r="14" spans="1:25" x14ac:dyDescent="0.45">
      <c r="A14" s="3"/>
      <c r="P14" s="18"/>
      <c r="Q14" s="18"/>
      <c r="R14" s="18"/>
      <c r="S14" s="18"/>
      <c r="T14" s="18"/>
      <c r="U14" s="18"/>
    </row>
    <row r="15" spans="1:25" x14ac:dyDescent="0.45">
      <c r="A15" s="3"/>
      <c r="P15" s="18"/>
      <c r="Q15" s="18"/>
      <c r="R15" s="18"/>
      <c r="S15" s="18"/>
      <c r="T15" s="18"/>
      <c r="U15" s="18"/>
    </row>
    <row r="16" spans="1:25" x14ac:dyDescent="0.45">
      <c r="A16" s="3"/>
      <c r="P16" s="18"/>
      <c r="Q16" s="18"/>
      <c r="R16" s="18"/>
      <c r="S16" s="18"/>
      <c r="T16" s="18"/>
      <c r="U16" s="18"/>
    </row>
    <row r="17" spans="1:21" x14ac:dyDescent="0.45">
      <c r="A17" s="3"/>
      <c r="P17" s="18"/>
      <c r="Q17" s="18"/>
      <c r="R17" s="18"/>
      <c r="S17" s="18"/>
      <c r="T17" s="18"/>
      <c r="U17" s="18"/>
    </row>
    <row r="18" spans="1:21" x14ac:dyDescent="0.45">
      <c r="A18" s="3"/>
      <c r="P18" s="18"/>
      <c r="Q18" s="18"/>
      <c r="R18" s="18"/>
      <c r="S18" s="18"/>
      <c r="T18" s="18"/>
      <c r="U18" s="18"/>
    </row>
    <row r="19" spans="1:21" x14ac:dyDescent="0.45">
      <c r="A19" s="3"/>
      <c r="P19" s="18"/>
      <c r="Q19" s="18"/>
      <c r="R19" s="18"/>
      <c r="S19" s="18"/>
      <c r="T19" s="18"/>
      <c r="U19" s="18"/>
    </row>
    <row r="20" spans="1:21" x14ac:dyDescent="0.45">
      <c r="A20" s="3"/>
      <c r="P20" s="18"/>
      <c r="Q20" s="18"/>
      <c r="R20" s="18"/>
      <c r="S20" s="18"/>
      <c r="T20" s="18"/>
      <c r="U20" s="18"/>
    </row>
    <row r="21" spans="1:21" x14ac:dyDescent="0.45">
      <c r="A21" s="3"/>
      <c r="P21" s="18"/>
      <c r="Q21" s="18"/>
      <c r="R21" s="18"/>
      <c r="S21" s="18"/>
      <c r="T21" s="18"/>
      <c r="U21" s="18"/>
    </row>
    <row r="22" spans="1:21" x14ac:dyDescent="0.45">
      <c r="A22" s="3"/>
      <c r="P22" s="18"/>
      <c r="Q22" s="18"/>
      <c r="R22" s="18"/>
      <c r="S22" s="18"/>
      <c r="T22" s="18"/>
      <c r="U22" s="18"/>
    </row>
    <row r="23" spans="1:21" x14ac:dyDescent="0.4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F26" sqref="F26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10" t="s">
        <v>3290</v>
      </c>
      <c r="B1" s="211"/>
      <c r="C1" s="211"/>
      <c r="D1" s="211"/>
      <c r="E1" s="211"/>
      <c r="F1" s="211"/>
      <c r="G1" s="211"/>
    </row>
    <row r="2" spans="1:7" ht="14.25" x14ac:dyDescent="0.45">
      <c r="A2" s="185" t="str">
        <f>ENTE_PUBLICO_A</f>
        <v>ORGANISMO, Gobierno del Estado de Guanajuato (a)</v>
      </c>
      <c r="B2" s="186"/>
      <c r="C2" s="186"/>
      <c r="D2" s="186"/>
      <c r="E2" s="186"/>
      <c r="F2" s="186"/>
      <c r="G2" s="187"/>
    </row>
    <row r="3" spans="1:7" x14ac:dyDescent="0.25">
      <c r="A3" s="188" t="s">
        <v>396</v>
      </c>
      <c r="B3" s="189"/>
      <c r="C3" s="189"/>
      <c r="D3" s="189"/>
      <c r="E3" s="189"/>
      <c r="F3" s="189"/>
      <c r="G3" s="190"/>
    </row>
    <row r="4" spans="1:7" x14ac:dyDescent="0.25">
      <c r="A4" s="188" t="s">
        <v>397</v>
      </c>
      <c r="B4" s="189"/>
      <c r="C4" s="189"/>
      <c r="D4" s="189"/>
      <c r="E4" s="189"/>
      <c r="F4" s="189"/>
      <c r="G4" s="190"/>
    </row>
    <row r="5" spans="1:7" ht="14.25" x14ac:dyDescent="0.45">
      <c r="A5" s="191" t="str">
        <f>TRIMESTRE</f>
        <v>Del 1 de enero al 31 de diciembre de 2019 (b)</v>
      </c>
      <c r="B5" s="192"/>
      <c r="C5" s="192"/>
      <c r="D5" s="192"/>
      <c r="E5" s="192"/>
      <c r="F5" s="192"/>
      <c r="G5" s="193"/>
    </row>
    <row r="6" spans="1:7" ht="14.25" x14ac:dyDescent="0.45">
      <c r="A6" s="194" t="s">
        <v>118</v>
      </c>
      <c r="B6" s="195"/>
      <c r="C6" s="195"/>
      <c r="D6" s="195"/>
      <c r="E6" s="195"/>
      <c r="F6" s="195"/>
      <c r="G6" s="196"/>
    </row>
    <row r="7" spans="1:7" x14ac:dyDescent="0.25">
      <c r="A7" s="189" t="s">
        <v>0</v>
      </c>
      <c r="B7" s="194" t="s">
        <v>279</v>
      </c>
      <c r="C7" s="195"/>
      <c r="D7" s="195"/>
      <c r="E7" s="195"/>
      <c r="F7" s="196"/>
      <c r="G7" s="206" t="s">
        <v>3287</v>
      </c>
    </row>
    <row r="8" spans="1:7" ht="30.75" customHeight="1" x14ac:dyDescent="0.25">
      <c r="A8" s="189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05"/>
    </row>
    <row r="9" spans="1:7" ht="14.25" x14ac:dyDescent="0.45">
      <c r="A9" s="52" t="s">
        <v>363</v>
      </c>
      <c r="B9" s="70">
        <f>SUM(B10,B19,B27,B37)</f>
        <v>31830196</v>
      </c>
      <c r="C9" s="70">
        <f t="shared" ref="C9:G9" si="0">SUM(C10,C19,C27,C37)</f>
        <v>13000527.689999998</v>
      </c>
      <c r="D9" s="70">
        <f t="shared" si="0"/>
        <v>44830723.689999998</v>
      </c>
      <c r="E9" s="70">
        <f t="shared" si="0"/>
        <v>37699734.420000002</v>
      </c>
      <c r="F9" s="70">
        <f t="shared" si="0"/>
        <v>37396918.490000002</v>
      </c>
      <c r="G9" s="70">
        <f t="shared" si="0"/>
        <v>7130989.2699999968</v>
      </c>
    </row>
    <row r="10" spans="1:7" x14ac:dyDescent="0.25">
      <c r="A10" s="53" t="s">
        <v>364</v>
      </c>
      <c r="B10" s="71">
        <f>SUM(B11:B18)</f>
        <v>14956343.75</v>
      </c>
      <c r="C10" s="71">
        <f t="shared" ref="C10:F10" si="1">SUM(C11:C18)</f>
        <v>1640715.5499999998</v>
      </c>
      <c r="D10" s="71">
        <f t="shared" si="1"/>
        <v>16597059.300000001</v>
      </c>
      <c r="E10" s="71">
        <f t="shared" si="1"/>
        <v>15700739.809999999</v>
      </c>
      <c r="F10" s="71">
        <f t="shared" si="1"/>
        <v>15489359.279999999</v>
      </c>
      <c r="G10" s="71">
        <f>SUM(G11:G18)</f>
        <v>896319.48999999953</v>
      </c>
    </row>
    <row r="11" spans="1:7" x14ac:dyDescent="0.25">
      <c r="A11" s="63" t="s">
        <v>365</v>
      </c>
      <c r="B11" s="171"/>
      <c r="C11" s="176">
        <v>0</v>
      </c>
      <c r="D11" s="171">
        <f>B11+C11</f>
        <v>0</v>
      </c>
      <c r="E11" s="176">
        <v>0</v>
      </c>
      <c r="F11" s="176">
        <v>0</v>
      </c>
      <c r="G11" s="72">
        <f>D11-E11</f>
        <v>0</v>
      </c>
    </row>
    <row r="12" spans="1:7" x14ac:dyDescent="0.25">
      <c r="A12" s="63" t="s">
        <v>366</v>
      </c>
      <c r="B12" s="171"/>
      <c r="C12" s="176">
        <v>0</v>
      </c>
      <c r="D12" s="171">
        <f t="shared" ref="D12:D18" si="2">B12+C12</f>
        <v>0</v>
      </c>
      <c r="E12" s="176">
        <v>0</v>
      </c>
      <c r="F12" s="176">
        <v>0</v>
      </c>
      <c r="G12" s="72">
        <f t="shared" ref="G12:G18" si="3">D12-E12</f>
        <v>0</v>
      </c>
    </row>
    <row r="13" spans="1:7" x14ac:dyDescent="0.25">
      <c r="A13" s="63" t="s">
        <v>367</v>
      </c>
      <c r="B13" s="172">
        <v>172446.05</v>
      </c>
      <c r="C13" s="176">
        <v>-2011</v>
      </c>
      <c r="D13" s="171">
        <f t="shared" si="2"/>
        <v>170435.05</v>
      </c>
      <c r="E13" s="176">
        <v>170431.12</v>
      </c>
      <c r="F13" s="176">
        <v>170431.12</v>
      </c>
      <c r="G13" s="72">
        <f t="shared" si="3"/>
        <v>3.9299999999930151</v>
      </c>
    </row>
    <row r="14" spans="1:7" x14ac:dyDescent="0.25">
      <c r="A14" s="63" t="s">
        <v>368</v>
      </c>
      <c r="B14" s="171"/>
      <c r="C14" s="176">
        <v>0</v>
      </c>
      <c r="D14" s="171">
        <f t="shared" si="2"/>
        <v>0</v>
      </c>
      <c r="E14" s="176">
        <v>0</v>
      </c>
      <c r="F14" s="176">
        <v>0</v>
      </c>
      <c r="G14" s="72">
        <f t="shared" si="3"/>
        <v>0</v>
      </c>
    </row>
    <row r="15" spans="1:7" x14ac:dyDescent="0.25">
      <c r="A15" s="63" t="s">
        <v>369</v>
      </c>
      <c r="B15" s="172">
        <v>9547695.2400000002</v>
      </c>
      <c r="C15" s="176">
        <v>1019407.6</v>
      </c>
      <c r="D15" s="171">
        <f t="shared" si="2"/>
        <v>10567102.84</v>
      </c>
      <c r="E15" s="176">
        <v>9888794.4700000007</v>
      </c>
      <c r="F15" s="176">
        <v>9698237.3399999999</v>
      </c>
      <c r="G15" s="72">
        <f t="shared" si="3"/>
        <v>678308.36999999918</v>
      </c>
    </row>
    <row r="16" spans="1:7" x14ac:dyDescent="0.25">
      <c r="A16" s="63" t="s">
        <v>370</v>
      </c>
      <c r="B16" s="171"/>
      <c r="C16" s="176">
        <v>0</v>
      </c>
      <c r="D16" s="171">
        <f t="shared" si="2"/>
        <v>0</v>
      </c>
      <c r="E16" s="176">
        <v>0</v>
      </c>
      <c r="F16" s="176">
        <v>0</v>
      </c>
      <c r="G16" s="72">
        <f t="shared" si="3"/>
        <v>0</v>
      </c>
    </row>
    <row r="17" spans="1:7" x14ac:dyDescent="0.25">
      <c r="A17" s="63" t="s">
        <v>371</v>
      </c>
      <c r="B17" s="171"/>
      <c r="C17" s="176">
        <v>0</v>
      </c>
      <c r="D17" s="171">
        <f t="shared" si="2"/>
        <v>0</v>
      </c>
      <c r="E17" s="176">
        <v>0</v>
      </c>
      <c r="F17" s="176">
        <v>0</v>
      </c>
      <c r="G17" s="72">
        <f t="shared" si="3"/>
        <v>0</v>
      </c>
    </row>
    <row r="18" spans="1:7" x14ac:dyDescent="0.25">
      <c r="A18" s="63" t="s">
        <v>372</v>
      </c>
      <c r="B18" s="172">
        <v>5236202.46</v>
      </c>
      <c r="C18" s="176">
        <v>623318.94999999995</v>
      </c>
      <c r="D18" s="171">
        <f t="shared" si="2"/>
        <v>5859521.4100000001</v>
      </c>
      <c r="E18" s="176">
        <v>5641514.2199999997</v>
      </c>
      <c r="F18" s="176">
        <v>5620690.8200000003</v>
      </c>
      <c r="G18" s="72">
        <f t="shared" si="3"/>
        <v>218007.19000000041</v>
      </c>
    </row>
    <row r="19" spans="1:7" ht="14.25" x14ac:dyDescent="0.45">
      <c r="A19" s="53" t="s">
        <v>373</v>
      </c>
      <c r="B19" s="71">
        <f>SUM(B20:B26)</f>
        <v>16873852.25</v>
      </c>
      <c r="C19" s="71">
        <f t="shared" ref="C19:F19" si="4">SUM(C20:C26)</f>
        <v>11359812.139999999</v>
      </c>
      <c r="D19" s="71">
        <f t="shared" si="4"/>
        <v>28233664.389999997</v>
      </c>
      <c r="E19" s="71">
        <f t="shared" si="4"/>
        <v>21998994.609999999</v>
      </c>
      <c r="F19" s="71">
        <f t="shared" si="4"/>
        <v>21907559.210000001</v>
      </c>
      <c r="G19" s="71">
        <f>SUM(G20:G26)</f>
        <v>6234669.7799999975</v>
      </c>
    </row>
    <row r="20" spans="1:7" x14ac:dyDescent="0.25">
      <c r="A20" s="63" t="s">
        <v>374</v>
      </c>
      <c r="B20" s="171"/>
      <c r="C20" s="176">
        <v>0</v>
      </c>
      <c r="D20" s="171">
        <f t="shared" ref="D20:D26" si="5">B20+C20</f>
        <v>0</v>
      </c>
      <c r="E20" s="176">
        <v>0</v>
      </c>
      <c r="F20" s="176">
        <v>0</v>
      </c>
      <c r="G20" s="72">
        <f>D20-E20</f>
        <v>0</v>
      </c>
    </row>
    <row r="21" spans="1:7" x14ac:dyDescent="0.25">
      <c r="A21" s="63" t="s">
        <v>375</v>
      </c>
      <c r="B21" s="171"/>
      <c r="C21" s="176">
        <v>0</v>
      </c>
      <c r="D21" s="171">
        <f t="shared" si="5"/>
        <v>0</v>
      </c>
      <c r="E21" s="176">
        <v>0</v>
      </c>
      <c r="F21" s="176">
        <v>0</v>
      </c>
      <c r="G21" s="72">
        <f t="shared" ref="G21:G26" si="6">D21-E21</f>
        <v>0</v>
      </c>
    </row>
    <row r="22" spans="1:7" x14ac:dyDescent="0.25">
      <c r="A22" s="63" t="s">
        <v>376</v>
      </c>
      <c r="B22" s="172">
        <v>1964950.41</v>
      </c>
      <c r="C22" s="176">
        <v>-223705.59</v>
      </c>
      <c r="D22" s="171">
        <f t="shared" si="5"/>
        <v>1741244.8199999998</v>
      </c>
      <c r="E22" s="176">
        <v>1636726.96</v>
      </c>
      <c r="F22" s="176">
        <v>1636726.96</v>
      </c>
      <c r="G22" s="72">
        <f t="shared" si="6"/>
        <v>104517.85999999987</v>
      </c>
    </row>
    <row r="23" spans="1:7" x14ac:dyDescent="0.25">
      <c r="A23" s="63" t="s">
        <v>377</v>
      </c>
      <c r="B23" s="171"/>
      <c r="C23" s="176">
        <v>0</v>
      </c>
      <c r="D23" s="171">
        <f t="shared" si="5"/>
        <v>0</v>
      </c>
      <c r="E23" s="176">
        <v>0</v>
      </c>
      <c r="F23" s="176">
        <v>0</v>
      </c>
      <c r="G23" s="72">
        <f t="shared" si="6"/>
        <v>0</v>
      </c>
    </row>
    <row r="24" spans="1:7" x14ac:dyDescent="0.25">
      <c r="A24" s="63" t="s">
        <v>378</v>
      </c>
      <c r="B24" s="172">
        <v>464361.28</v>
      </c>
      <c r="C24" s="176">
        <v>1358.03</v>
      </c>
      <c r="D24" s="171">
        <f t="shared" si="5"/>
        <v>465719.31000000006</v>
      </c>
      <c r="E24" s="176">
        <v>403852.4</v>
      </c>
      <c r="F24" s="176">
        <v>403852.4</v>
      </c>
      <c r="G24" s="72">
        <f t="shared" si="6"/>
        <v>61866.910000000033</v>
      </c>
    </row>
    <row r="25" spans="1:7" x14ac:dyDescent="0.25">
      <c r="A25" s="63" t="s">
        <v>379</v>
      </c>
      <c r="B25" s="172">
        <v>14444540.560000001</v>
      </c>
      <c r="C25" s="176">
        <v>11582159.699999999</v>
      </c>
      <c r="D25" s="171">
        <f t="shared" si="5"/>
        <v>26026700.259999998</v>
      </c>
      <c r="E25" s="176">
        <v>19958415.25</v>
      </c>
      <c r="F25" s="176">
        <v>19866979.850000001</v>
      </c>
      <c r="G25" s="72">
        <f t="shared" si="6"/>
        <v>6068285.0099999979</v>
      </c>
    </row>
    <row r="26" spans="1:7" x14ac:dyDescent="0.25">
      <c r="A26" s="63" t="s">
        <v>380</v>
      </c>
      <c r="B26" s="171"/>
      <c r="C26" s="176">
        <v>0</v>
      </c>
      <c r="D26" s="171">
        <f t="shared" si="5"/>
        <v>0</v>
      </c>
      <c r="E26" s="176">
        <v>0</v>
      </c>
      <c r="F26" s="176">
        <v>0</v>
      </c>
      <c r="G26" s="72">
        <f t="shared" si="6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7">SUM(C28:C36)</f>
        <v>0</v>
      </c>
      <c r="D27" s="71">
        <f t="shared" si="7"/>
        <v>0</v>
      </c>
      <c r="E27" s="71">
        <f t="shared" si="7"/>
        <v>0</v>
      </c>
      <c r="F27" s="71">
        <f t="shared" si="7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ht="14.25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8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8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8"/>
        <v>0</v>
      </c>
    </row>
    <row r="32" spans="1:7" ht="14.25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8"/>
        <v>0</v>
      </c>
    </row>
    <row r="33" spans="1:7" ht="14.25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8"/>
        <v>0</v>
      </c>
    </row>
    <row r="34" spans="1:7" ht="14.25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8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8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8"/>
        <v>0</v>
      </c>
    </row>
    <row r="37" spans="1:7" ht="28.5" x14ac:dyDescent="0.25">
      <c r="A37" s="64" t="s">
        <v>398</v>
      </c>
      <c r="B37" s="71">
        <f>SUM(B38:B41)</f>
        <v>0</v>
      </c>
      <c r="C37" s="71">
        <f t="shared" ref="C37:F37" si="9">SUM(C38:C41)</f>
        <v>0</v>
      </c>
      <c r="D37" s="71">
        <f t="shared" si="9"/>
        <v>0</v>
      </c>
      <c r="E37" s="71">
        <f t="shared" si="9"/>
        <v>0</v>
      </c>
      <c r="F37" s="71">
        <f t="shared" si="9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10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10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10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11">SUM(C44,C53,C61,C71)</f>
        <v>0</v>
      </c>
      <c r="D43" s="73">
        <f t="shared" si="11"/>
        <v>0</v>
      </c>
      <c r="E43" s="73">
        <f t="shared" si="11"/>
        <v>0</v>
      </c>
      <c r="F43" s="73">
        <f t="shared" si="11"/>
        <v>0</v>
      </c>
      <c r="G43" s="73">
        <f t="shared" si="11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2">SUM(C45:C52)</f>
        <v>0</v>
      </c>
      <c r="D44" s="72">
        <f t="shared" si="12"/>
        <v>0</v>
      </c>
      <c r="E44" s="72">
        <f t="shared" si="12"/>
        <v>0</v>
      </c>
      <c r="F44" s="72">
        <f t="shared" si="12"/>
        <v>0</v>
      </c>
      <c r="G44" s="72">
        <f t="shared" si="12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3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3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3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3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3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3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3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4">SUM(C54:C60)</f>
        <v>0</v>
      </c>
      <c r="D53" s="71">
        <f t="shared" si="14"/>
        <v>0</v>
      </c>
      <c r="E53" s="71">
        <f t="shared" si="14"/>
        <v>0</v>
      </c>
      <c r="F53" s="71">
        <f t="shared" si="14"/>
        <v>0</v>
      </c>
      <c r="G53" s="71">
        <f t="shared" si="14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5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5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5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5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5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5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6">SUM(C62:C70)</f>
        <v>0</v>
      </c>
      <c r="D61" s="71">
        <f t="shared" si="16"/>
        <v>0</v>
      </c>
      <c r="E61" s="71">
        <f t="shared" si="16"/>
        <v>0</v>
      </c>
      <c r="F61" s="71">
        <f t="shared" si="16"/>
        <v>0</v>
      </c>
      <c r="G61" s="71">
        <f t="shared" si="16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7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7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7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7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7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7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7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7"/>
        <v>0</v>
      </c>
    </row>
    <row r="71" spans="1:8" x14ac:dyDescent="0.25">
      <c r="A71" s="64" t="s">
        <v>3300</v>
      </c>
      <c r="B71" s="74">
        <f>SUM(B72:B75)</f>
        <v>0</v>
      </c>
      <c r="C71" s="74">
        <f t="shared" ref="C71:F71" si="18">SUM(C72:C75)</f>
        <v>0</v>
      </c>
      <c r="D71" s="74">
        <f t="shared" si="18"/>
        <v>0</v>
      </c>
      <c r="E71" s="74">
        <f t="shared" si="18"/>
        <v>0</v>
      </c>
      <c r="F71" s="74">
        <f t="shared" si="18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9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9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9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31830196</v>
      </c>
      <c r="C77" s="73">
        <f t="shared" ref="C77:F77" si="20">C43+C9</f>
        <v>13000527.689999998</v>
      </c>
      <c r="D77" s="73">
        <f t="shared" si="20"/>
        <v>44830723.689999998</v>
      </c>
      <c r="E77" s="73">
        <f t="shared" si="20"/>
        <v>37699734.420000002</v>
      </c>
      <c r="F77" s="73">
        <f t="shared" si="20"/>
        <v>37396918.490000002</v>
      </c>
      <c r="G77" s="73">
        <f>G43+G9</f>
        <v>7130989.2699999968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31830196</v>
      </c>
      <c r="Q2" s="18">
        <f>'Formato 6 c)'!C9</f>
        <v>13000527.689999998</v>
      </c>
      <c r="R2" s="18">
        <f>'Formato 6 c)'!D9</f>
        <v>44830723.689999998</v>
      </c>
      <c r="S2" s="18">
        <f>'Formato 6 c)'!E9</f>
        <v>37699734.420000002</v>
      </c>
      <c r="T2" s="18">
        <f>'Formato 6 c)'!F9</f>
        <v>37396918.490000002</v>
      </c>
      <c r="U2" s="18">
        <f>'Formato 6 c)'!G9</f>
        <v>7130989.2699999968</v>
      </c>
    </row>
    <row r="3" spans="1: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14956343.75</v>
      </c>
      <c r="Q3" s="18">
        <f>'Formato 6 c)'!C10</f>
        <v>1640715.5499999998</v>
      </c>
      <c r="R3" s="18">
        <f>'Formato 6 c)'!D10</f>
        <v>16597059.300000001</v>
      </c>
      <c r="S3" s="18">
        <f>'Formato 6 c)'!E10</f>
        <v>15700739.809999999</v>
      </c>
      <c r="T3" s="18">
        <f>'Formato 6 c)'!F10</f>
        <v>15489359.279999999</v>
      </c>
      <c r="U3" s="18">
        <f>'Formato 6 c)'!G10</f>
        <v>896319.48999999953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172446.05</v>
      </c>
      <c r="Q6" s="18">
        <f>'Formato 6 c)'!C13</f>
        <v>-2011</v>
      </c>
      <c r="R6" s="18">
        <f>'Formato 6 c)'!D13</f>
        <v>170435.05</v>
      </c>
      <c r="S6" s="18">
        <f>'Formato 6 c)'!E13</f>
        <v>170431.12</v>
      </c>
      <c r="T6" s="18">
        <f>'Formato 6 c)'!F13</f>
        <v>170431.12</v>
      </c>
      <c r="U6" s="18">
        <f>'Formato 6 c)'!G13</f>
        <v>3.9299999999930151</v>
      </c>
      <c r="V6" s="18"/>
    </row>
    <row r="7" spans="1: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9547695.2400000002</v>
      </c>
      <c r="Q8" s="18">
        <f>'Formato 6 c)'!C15</f>
        <v>1019407.6</v>
      </c>
      <c r="R8" s="18">
        <f>'Formato 6 c)'!D15</f>
        <v>10567102.84</v>
      </c>
      <c r="S8" s="18">
        <f>'Formato 6 c)'!E15</f>
        <v>9888794.4700000007</v>
      </c>
      <c r="T8" s="18">
        <f>'Formato 6 c)'!F15</f>
        <v>9698237.3399999999</v>
      </c>
      <c r="U8" s="18">
        <f>'Formato 6 c)'!G15</f>
        <v>678308.36999999918</v>
      </c>
    </row>
    <row r="9" spans="1: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5236202.46</v>
      </c>
      <c r="Q11" s="18">
        <f>'Formato 6 c)'!C18</f>
        <v>623318.94999999995</v>
      </c>
      <c r="R11" s="18">
        <f>'Formato 6 c)'!D18</f>
        <v>5859521.4100000001</v>
      </c>
      <c r="S11" s="18">
        <f>'Formato 6 c)'!E18</f>
        <v>5641514.2199999997</v>
      </c>
      <c r="T11" s="18">
        <f>'Formato 6 c)'!F18</f>
        <v>5620690.8200000003</v>
      </c>
      <c r="U11" s="18">
        <f>'Formato 6 c)'!G18</f>
        <v>218007.19000000041</v>
      </c>
    </row>
    <row r="12" spans="1: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16873852.25</v>
      </c>
      <c r="Q12" s="18">
        <f>'Formato 6 c)'!C19</f>
        <v>11359812.139999999</v>
      </c>
      <c r="R12" s="18">
        <f>'Formato 6 c)'!D19</f>
        <v>28233664.389999997</v>
      </c>
      <c r="S12" s="18">
        <f>'Formato 6 c)'!E19</f>
        <v>21998994.609999999</v>
      </c>
      <c r="T12" s="18">
        <f>'Formato 6 c)'!F19</f>
        <v>21907559.210000001</v>
      </c>
      <c r="U12" s="18">
        <f>'Formato 6 c)'!G19</f>
        <v>6234669.7799999975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1964950.41</v>
      </c>
      <c r="Q15" s="18">
        <f>'Formato 6 c)'!C22</f>
        <v>-223705.59</v>
      </c>
      <c r="R15" s="18">
        <f>'Formato 6 c)'!D22</f>
        <v>1741244.8199999998</v>
      </c>
      <c r="S15" s="18">
        <f>'Formato 6 c)'!E22</f>
        <v>1636726.96</v>
      </c>
      <c r="T15" s="18">
        <f>'Formato 6 c)'!F22</f>
        <v>1636726.96</v>
      </c>
      <c r="U15" s="18">
        <f>'Formato 6 c)'!G22</f>
        <v>104517.85999999987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464361.28</v>
      </c>
      <c r="Q17" s="18">
        <f>'Formato 6 c)'!C24</f>
        <v>1358.03</v>
      </c>
      <c r="R17" s="18">
        <f>'Formato 6 c)'!D24</f>
        <v>465719.31000000006</v>
      </c>
      <c r="S17" s="18">
        <f>'Formato 6 c)'!E24</f>
        <v>403852.4</v>
      </c>
      <c r="T17" s="18">
        <f>'Formato 6 c)'!F24</f>
        <v>403852.4</v>
      </c>
      <c r="U17" s="18">
        <f>'Formato 6 c)'!G24</f>
        <v>61866.910000000033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14444540.560000001</v>
      </c>
      <c r="Q18" s="18">
        <f>'Formato 6 c)'!C25</f>
        <v>11582159.699999999</v>
      </c>
      <c r="R18" s="18">
        <f>'Formato 6 c)'!D25</f>
        <v>26026700.259999998</v>
      </c>
      <c r="S18" s="18">
        <f>'Formato 6 c)'!E25</f>
        <v>19958415.25</v>
      </c>
      <c r="T18" s="18">
        <f>'Formato 6 c)'!F25</f>
        <v>19866979.850000001</v>
      </c>
      <c r="U18" s="18">
        <f>'Formato 6 c)'!G25</f>
        <v>6068285.0099999979</v>
      </c>
    </row>
    <row r="19" spans="1:21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31830196</v>
      </c>
      <c r="Q68" s="18">
        <f>'Formato 6 c)'!C77</f>
        <v>13000527.689999998</v>
      </c>
      <c r="R68" s="18">
        <f>'Formato 6 c)'!D77</f>
        <v>44830723.689999998</v>
      </c>
      <c r="S68" s="18">
        <f>'Formato 6 c)'!E77</f>
        <v>37699734.420000002</v>
      </c>
      <c r="T68" s="18">
        <f>'Formato 6 c)'!F77</f>
        <v>37396918.490000002</v>
      </c>
      <c r="U68" s="18">
        <f>'Formato 6 c)'!G77</f>
        <v>7130989.2699999968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ORGANISMO, Gobierno del Estado de Guanajuato</v>
      </c>
    </row>
    <row r="7" spans="2:3" ht="14.25" x14ac:dyDescent="0.45">
      <c r="C7" t="str">
        <f>CONCATENATE(ENTE_PUBLICO," (a)")</f>
        <v>ORGANISMO,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1160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Miguel de Allende,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3317</v>
      </c>
    </row>
    <row r="15" spans="2:3" ht="14.25" x14ac:dyDescent="0.45">
      <c r="C15" s="24">
        <v>4</v>
      </c>
    </row>
    <row r="16" spans="2:3" ht="14.25" x14ac:dyDescent="0.45">
      <c r="C16" s="24" t="s">
        <v>3318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.2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F10" sqref="F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04" t="s">
        <v>3288</v>
      </c>
      <c r="B1" s="203"/>
      <c r="C1" s="203"/>
      <c r="D1" s="203"/>
      <c r="E1" s="203"/>
      <c r="F1" s="203"/>
      <c r="G1" s="203"/>
    </row>
    <row r="2" spans="1:7" ht="14.25" x14ac:dyDescent="0.45">
      <c r="A2" s="185" t="str">
        <f>ENTE_PUBLICO_A</f>
        <v>ORGANISMO, Gobierno del Estado de Guanajuato (a)</v>
      </c>
      <c r="B2" s="186"/>
      <c r="C2" s="186"/>
      <c r="D2" s="186"/>
      <c r="E2" s="186"/>
      <c r="F2" s="186"/>
      <c r="G2" s="187"/>
    </row>
    <row r="3" spans="1:7" x14ac:dyDescent="0.25">
      <c r="A3" s="191" t="s">
        <v>277</v>
      </c>
      <c r="B3" s="192"/>
      <c r="C3" s="192"/>
      <c r="D3" s="192"/>
      <c r="E3" s="192"/>
      <c r="F3" s="192"/>
      <c r="G3" s="193"/>
    </row>
    <row r="4" spans="1:7" x14ac:dyDescent="0.25">
      <c r="A4" s="191" t="s">
        <v>399</v>
      </c>
      <c r="B4" s="192"/>
      <c r="C4" s="192"/>
      <c r="D4" s="192"/>
      <c r="E4" s="192"/>
      <c r="F4" s="192"/>
      <c r="G4" s="193"/>
    </row>
    <row r="5" spans="1:7" ht="14.25" x14ac:dyDescent="0.45">
      <c r="A5" s="191" t="str">
        <f>TRIMESTRE</f>
        <v>Del 1 de enero al 31 de diciembre de 2019 (b)</v>
      </c>
      <c r="B5" s="192"/>
      <c r="C5" s="192"/>
      <c r="D5" s="192"/>
      <c r="E5" s="192"/>
      <c r="F5" s="192"/>
      <c r="G5" s="193"/>
    </row>
    <row r="6" spans="1:7" ht="14.25" x14ac:dyDescent="0.45">
      <c r="A6" s="194" t="s">
        <v>118</v>
      </c>
      <c r="B6" s="195"/>
      <c r="C6" s="195"/>
      <c r="D6" s="195"/>
      <c r="E6" s="195"/>
      <c r="F6" s="195"/>
      <c r="G6" s="196"/>
    </row>
    <row r="7" spans="1:7" x14ac:dyDescent="0.25">
      <c r="A7" s="200" t="s">
        <v>361</v>
      </c>
      <c r="B7" s="205" t="s">
        <v>279</v>
      </c>
      <c r="C7" s="205"/>
      <c r="D7" s="205"/>
      <c r="E7" s="205"/>
      <c r="F7" s="205"/>
      <c r="G7" s="205" t="s">
        <v>280</v>
      </c>
    </row>
    <row r="8" spans="1:7" ht="29.25" customHeight="1" x14ac:dyDescent="0.25">
      <c r="A8" s="201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12"/>
    </row>
    <row r="9" spans="1:7" ht="14.25" x14ac:dyDescent="0.45">
      <c r="A9" s="52" t="s">
        <v>400</v>
      </c>
      <c r="B9" s="66">
        <f>SUM(B10,B11,B12,B15,B16,B19)</f>
        <v>19992071.75</v>
      </c>
      <c r="C9" s="66">
        <f t="shared" ref="C9:F9" si="0">SUM(C10,C11,C12,C15,C16,C19)</f>
        <v>-448398.81</v>
      </c>
      <c r="D9" s="66">
        <f t="shared" si="0"/>
        <v>19543672.940000001</v>
      </c>
      <c r="E9" s="66">
        <f t="shared" si="0"/>
        <v>17885260.540000003</v>
      </c>
      <c r="F9" s="66">
        <f t="shared" si="0"/>
        <v>17864905.140000004</v>
      </c>
      <c r="G9" s="66">
        <f>SUM(G10,G11,G12,G15,G16,G19)</f>
        <v>1658412.3999999985</v>
      </c>
    </row>
    <row r="10" spans="1:7" x14ac:dyDescent="0.25">
      <c r="A10" s="53" t="s">
        <v>401</v>
      </c>
      <c r="B10" s="173">
        <v>19992071.75</v>
      </c>
      <c r="C10" s="173">
        <v>-448398.81</v>
      </c>
      <c r="D10" s="174">
        <f>B10+C10</f>
        <v>19543672.940000001</v>
      </c>
      <c r="E10" s="173">
        <v>17885260.540000003</v>
      </c>
      <c r="F10" s="173">
        <v>17864905.140000004</v>
      </c>
      <c r="G10" s="67">
        <f>D10-E10</f>
        <v>1658412.3999999985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174">
        <f t="shared" ref="D13:D15" si="2">B13+C13</f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174">
        <f t="shared" si="2"/>
        <v>0</v>
      </c>
      <c r="E14" s="67">
        <v>0</v>
      </c>
      <c r="F14" s="67">
        <v>0</v>
      </c>
      <c r="G14" s="67">
        <f t="shared" ref="G14:G15" si="3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174">
        <f t="shared" si="2"/>
        <v>0</v>
      </c>
      <c r="E15" s="67">
        <v>0</v>
      </c>
      <c r="F15" s="67">
        <v>0</v>
      </c>
      <c r="G15" s="67">
        <f t="shared" si="3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4">C17+C18</f>
        <v>0</v>
      </c>
      <c r="D16" s="67">
        <f t="shared" si="4"/>
        <v>0</v>
      </c>
      <c r="E16" s="67">
        <f t="shared" si="4"/>
        <v>0</v>
      </c>
      <c r="F16" s="67">
        <f t="shared" si="4"/>
        <v>0</v>
      </c>
      <c r="G16" s="67">
        <f t="shared" si="4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174">
        <f t="shared" ref="D17:D19" si="5">B17+C17</f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174">
        <f t="shared" si="5"/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174">
        <f t="shared" si="5"/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6">SUM(C22,C23,C24,C27,C28,C31)</f>
        <v>0</v>
      </c>
      <c r="D21" s="66">
        <f t="shared" si="6"/>
        <v>0</v>
      </c>
      <c r="E21" s="66">
        <f t="shared" si="6"/>
        <v>0</v>
      </c>
      <c r="F21" s="66">
        <f t="shared" si="6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174">
        <f t="shared" ref="D22:D23" si="7">B22+C22</f>
        <v>0</v>
      </c>
      <c r="E22" s="67">
        <v>0</v>
      </c>
      <c r="F22" s="67">
        <v>0</v>
      </c>
      <c r="G22" s="67">
        <f>D22-E22</f>
        <v>0</v>
      </c>
    </row>
    <row r="23" spans="1:7" s="24" customFormat="1" ht="14.25" x14ac:dyDescent="0.45">
      <c r="A23" s="53" t="s">
        <v>402</v>
      </c>
      <c r="B23" s="67">
        <v>0</v>
      </c>
      <c r="C23" s="67">
        <v>0</v>
      </c>
      <c r="D23" s="174">
        <f t="shared" si="7"/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8">C25+C26</f>
        <v>0</v>
      </c>
      <c r="D24" s="67">
        <f t="shared" si="8"/>
        <v>0</v>
      </c>
      <c r="E24" s="67">
        <f t="shared" si="8"/>
        <v>0</v>
      </c>
      <c r="F24" s="67">
        <f t="shared" si="8"/>
        <v>0</v>
      </c>
      <c r="G24" s="67">
        <f t="shared" si="8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174">
        <f t="shared" ref="D25:D27" si="9">B25+C25</f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174">
        <f t="shared" si="9"/>
        <v>0</v>
      </c>
      <c r="E26" s="67">
        <v>0</v>
      </c>
      <c r="F26" s="67">
        <v>0</v>
      </c>
      <c r="G26" s="67">
        <f t="shared" ref="G26:G27" si="10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174">
        <f t="shared" si="9"/>
        <v>0</v>
      </c>
      <c r="E27" s="67">
        <v>0</v>
      </c>
      <c r="F27" s="67">
        <v>0</v>
      </c>
      <c r="G27" s="67">
        <f t="shared" si="10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11">C29+C30</f>
        <v>0</v>
      </c>
      <c r="D28" s="67">
        <f t="shared" si="11"/>
        <v>0</v>
      </c>
      <c r="E28" s="67">
        <f t="shared" si="11"/>
        <v>0</v>
      </c>
      <c r="F28" s="67">
        <f t="shared" si="11"/>
        <v>0</v>
      </c>
      <c r="G28" s="67">
        <f t="shared" si="11"/>
        <v>0</v>
      </c>
    </row>
    <row r="29" spans="1:7" s="24" customFormat="1" ht="14.25" x14ac:dyDescent="0.25">
      <c r="A29" s="63" t="s">
        <v>408</v>
      </c>
      <c r="B29" s="67">
        <v>0</v>
      </c>
      <c r="C29" s="67">
        <v>0</v>
      </c>
      <c r="D29" s="174">
        <f t="shared" ref="D29:D31" si="12">B29+C29</f>
        <v>0</v>
      </c>
      <c r="E29" s="67">
        <v>0</v>
      </c>
      <c r="F29" s="67">
        <v>0</v>
      </c>
      <c r="G29" s="67">
        <f>D29-E29</f>
        <v>0</v>
      </c>
    </row>
    <row r="30" spans="1:7" s="24" customFormat="1" ht="14.25" x14ac:dyDescent="0.25">
      <c r="A30" s="63" t="s">
        <v>409</v>
      </c>
      <c r="B30" s="67">
        <v>0</v>
      </c>
      <c r="C30" s="67">
        <v>0</v>
      </c>
      <c r="D30" s="174">
        <f t="shared" si="12"/>
        <v>0</v>
      </c>
      <c r="E30" s="67">
        <v>0</v>
      </c>
      <c r="F30" s="67">
        <v>0</v>
      </c>
      <c r="G30" s="67">
        <f t="shared" ref="G30:G31" si="13">D30-E30</f>
        <v>0</v>
      </c>
    </row>
    <row r="31" spans="1:7" s="24" customFormat="1" ht="14.25" x14ac:dyDescent="0.25">
      <c r="A31" s="53" t="s">
        <v>410</v>
      </c>
      <c r="B31" s="67">
        <v>0</v>
      </c>
      <c r="C31" s="67">
        <v>0</v>
      </c>
      <c r="D31" s="174">
        <f t="shared" si="12"/>
        <v>0</v>
      </c>
      <c r="E31" s="67">
        <v>0</v>
      </c>
      <c r="F31" s="67">
        <v>0</v>
      </c>
      <c r="G31" s="67">
        <f t="shared" si="13"/>
        <v>0</v>
      </c>
    </row>
    <row r="32" spans="1:7" ht="14.25" x14ac:dyDescent="0.25">
      <c r="A32" s="54"/>
      <c r="B32" s="68"/>
      <c r="C32" s="68"/>
      <c r="D32" s="68"/>
      <c r="E32" s="68"/>
      <c r="F32" s="68"/>
      <c r="G32" s="68"/>
    </row>
    <row r="33" spans="1:7" ht="14.25" x14ac:dyDescent="0.25">
      <c r="A33" s="55" t="s">
        <v>412</v>
      </c>
      <c r="B33" s="66">
        <f>B21+B9</f>
        <v>19992071.75</v>
      </c>
      <c r="C33" s="66">
        <f t="shared" ref="C33:G33" si="14">C21+C9</f>
        <v>-448398.81</v>
      </c>
      <c r="D33" s="66">
        <f t="shared" si="14"/>
        <v>19543672.940000001</v>
      </c>
      <c r="E33" s="66">
        <f t="shared" si="14"/>
        <v>17885260.540000003</v>
      </c>
      <c r="F33" s="66">
        <f t="shared" si="14"/>
        <v>17864905.140000004</v>
      </c>
      <c r="G33" s="66">
        <f t="shared" si="14"/>
        <v>1658412.3999999985</v>
      </c>
    </row>
    <row r="34" spans="1:7" ht="14.25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19992071.75</v>
      </c>
      <c r="Q2" s="18">
        <f>'Formato 6 d)'!C9</f>
        <v>-448398.81</v>
      </c>
      <c r="R2" s="18">
        <f>'Formato 6 d)'!D9</f>
        <v>19543672.940000001</v>
      </c>
      <c r="S2" s="18">
        <f>'Formato 6 d)'!E9</f>
        <v>17885260.540000003</v>
      </c>
      <c r="T2" s="18">
        <f>'Formato 6 d)'!F9</f>
        <v>17864905.140000004</v>
      </c>
      <c r="U2" s="18">
        <f>'Formato 6 d)'!G9</f>
        <v>1658412.3999999985</v>
      </c>
    </row>
    <row r="3" spans="1: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19992071.75</v>
      </c>
      <c r="Q3" s="18">
        <f>'Formato 6 d)'!C10</f>
        <v>-448398.81</v>
      </c>
      <c r="R3" s="18">
        <f>'Formato 6 d)'!D10</f>
        <v>19543672.940000001</v>
      </c>
      <c r="S3" s="18">
        <f>'Formato 6 d)'!E10</f>
        <v>17885260.540000003</v>
      </c>
      <c r="T3" s="18">
        <f>'Formato 6 d)'!F10</f>
        <v>17864905.140000004</v>
      </c>
      <c r="U3" s="18">
        <f>'Formato 6 d)'!G10</f>
        <v>1658412.3999999985</v>
      </c>
      <c r="V3" s="18"/>
    </row>
    <row r="4" spans="1: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19992071.75</v>
      </c>
      <c r="Q24" s="18">
        <f>'Formato 6 d)'!C33</f>
        <v>-448398.81</v>
      </c>
      <c r="R24" s="18">
        <f>'Formato 6 d)'!D33</f>
        <v>19543672.940000001</v>
      </c>
      <c r="S24" s="18">
        <f>'Formato 6 d)'!E33</f>
        <v>17885260.540000003</v>
      </c>
      <c r="T24" s="18">
        <f>'Formato 6 d)'!F33</f>
        <v>17864905.140000004</v>
      </c>
      <c r="U24" s="18">
        <f>'Formato 6 d)'!G33</f>
        <v>1658412.3999999985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B20" sqref="B20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03" t="s">
        <v>413</v>
      </c>
      <c r="B1" s="203"/>
      <c r="C1" s="203"/>
      <c r="D1" s="203"/>
      <c r="E1" s="203"/>
      <c r="F1" s="203"/>
      <c r="G1" s="203"/>
    </row>
    <row r="2" spans="1:7" ht="14.25" x14ac:dyDescent="0.45">
      <c r="A2" s="185" t="str">
        <f>ENTIDAD</f>
        <v>Municipio de San Miguel de Allende, Gobierno del Estado de Guanajuato</v>
      </c>
      <c r="B2" s="186"/>
      <c r="C2" s="186"/>
      <c r="D2" s="186"/>
      <c r="E2" s="186"/>
      <c r="F2" s="186"/>
      <c r="G2" s="187"/>
    </row>
    <row r="3" spans="1:7" ht="14.25" x14ac:dyDescent="0.45">
      <c r="A3" s="188" t="s">
        <v>414</v>
      </c>
      <c r="B3" s="189"/>
      <c r="C3" s="189"/>
      <c r="D3" s="189"/>
      <c r="E3" s="189"/>
      <c r="F3" s="189"/>
      <c r="G3" s="190"/>
    </row>
    <row r="4" spans="1:7" ht="14.25" x14ac:dyDescent="0.45">
      <c r="A4" s="188" t="s">
        <v>118</v>
      </c>
      <c r="B4" s="189"/>
      <c r="C4" s="189"/>
      <c r="D4" s="189"/>
      <c r="E4" s="189"/>
      <c r="F4" s="189"/>
      <c r="G4" s="190"/>
    </row>
    <row r="5" spans="1:7" ht="14.25" x14ac:dyDescent="0.45">
      <c r="A5" s="188" t="s">
        <v>415</v>
      </c>
      <c r="B5" s="189"/>
      <c r="C5" s="189"/>
      <c r="D5" s="189"/>
      <c r="E5" s="189"/>
      <c r="F5" s="189"/>
      <c r="G5" s="190"/>
    </row>
    <row r="6" spans="1:7" x14ac:dyDescent="0.25">
      <c r="A6" s="200" t="s">
        <v>3289</v>
      </c>
      <c r="B6" s="51">
        <f>ANIO1P</f>
        <v>2020</v>
      </c>
      <c r="C6" s="213" t="str">
        <f>ANIO2P</f>
        <v>2021 (d)</v>
      </c>
      <c r="D6" s="213" t="str">
        <f>ANIO3P</f>
        <v>2022 (d)</v>
      </c>
      <c r="E6" s="213" t="str">
        <f>ANIO4P</f>
        <v>2023 (d)</v>
      </c>
      <c r="F6" s="213" t="str">
        <f>ANIO5P</f>
        <v>2024 (d)</v>
      </c>
      <c r="G6" s="213" t="str">
        <f>ANIO6P</f>
        <v>2025 (d)</v>
      </c>
    </row>
    <row r="7" spans="1:7" ht="48.2" customHeight="1" x14ac:dyDescent="0.25">
      <c r="A7" s="201"/>
      <c r="B7" s="88" t="s">
        <v>3292</v>
      </c>
      <c r="C7" s="214"/>
      <c r="D7" s="214"/>
      <c r="E7" s="214"/>
      <c r="F7" s="214"/>
      <c r="G7" s="214"/>
    </row>
    <row r="8" spans="1:7" x14ac:dyDescent="0.25">
      <c r="A8" s="52" t="s">
        <v>421</v>
      </c>
      <c r="B8" s="59">
        <f>SUM(B9:B20)</f>
        <v>36430225.469999999</v>
      </c>
      <c r="C8" s="59">
        <f t="shared" ref="C8:G8" si="0">SUM(C9:C20)</f>
        <v>38980341.252900004</v>
      </c>
      <c r="D8" s="59">
        <f t="shared" si="0"/>
        <v>40929358.315545008</v>
      </c>
      <c r="E8" s="59">
        <f t="shared" si="0"/>
        <v>42975826.231322259</v>
      </c>
      <c r="F8" s="59">
        <f t="shared" si="0"/>
        <v>45124617.542888366</v>
      </c>
      <c r="G8" s="59">
        <f t="shared" si="0"/>
        <v>47380848.420032784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3890600</v>
      </c>
      <c r="C15" s="60">
        <f>+B15*1.07</f>
        <v>4162942.0000000005</v>
      </c>
      <c r="D15" s="60">
        <f>+C15*1.05</f>
        <v>4371089.1000000006</v>
      </c>
      <c r="E15" s="60">
        <f>+D15*1.05</f>
        <v>4589643.5550000006</v>
      </c>
      <c r="F15" s="60">
        <f>+E15*1.05</f>
        <v>4819125.7327500004</v>
      </c>
      <c r="G15" s="60">
        <f>+F15*1.05</f>
        <v>5060082.0193875004</v>
      </c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175">
        <v>31110000</v>
      </c>
      <c r="C18" s="60">
        <f>+B18*1.07</f>
        <v>33287700.000000004</v>
      </c>
      <c r="D18" s="60">
        <f t="shared" ref="D18:G19" si="1">+C18*1.05</f>
        <v>34952085.000000007</v>
      </c>
      <c r="E18" s="60">
        <f t="shared" si="1"/>
        <v>36699689.250000007</v>
      </c>
      <c r="F18" s="60">
        <f t="shared" si="1"/>
        <v>38534673.712500006</v>
      </c>
      <c r="G18" s="60">
        <f t="shared" si="1"/>
        <v>40461407.398125008</v>
      </c>
    </row>
    <row r="19" spans="1:7" x14ac:dyDescent="0.25">
      <c r="A19" s="53" t="s">
        <v>241</v>
      </c>
      <c r="B19" s="60">
        <v>1429625.47</v>
      </c>
      <c r="C19" s="60">
        <f>+B19*1.07</f>
        <v>1529699.2529</v>
      </c>
      <c r="D19" s="60">
        <f t="shared" si="1"/>
        <v>1606184.215545</v>
      </c>
      <c r="E19" s="60">
        <f t="shared" si="1"/>
        <v>1686493.4263222502</v>
      </c>
      <c r="F19" s="60">
        <f t="shared" si="1"/>
        <v>1770818.0976383628</v>
      </c>
      <c r="G19" s="60">
        <f t="shared" si="1"/>
        <v>1859359.0025202809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2">SUM(C23:C27)</f>
        <v>0</v>
      </c>
      <c r="D22" s="61">
        <f t="shared" si="2"/>
        <v>0</v>
      </c>
      <c r="E22" s="61">
        <f t="shared" si="2"/>
        <v>0</v>
      </c>
      <c r="F22" s="61">
        <f t="shared" si="2"/>
        <v>0</v>
      </c>
      <c r="G22" s="61">
        <f t="shared" si="2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ht="14.25" x14ac:dyDescent="0.25">
      <c r="A29" s="55" t="s">
        <v>426</v>
      </c>
      <c r="B29" s="61">
        <f>B30</f>
        <v>0</v>
      </c>
      <c r="C29" s="61">
        <f t="shared" ref="C29:G29" si="3">C30</f>
        <v>0</v>
      </c>
      <c r="D29" s="61">
        <f t="shared" si="3"/>
        <v>0</v>
      </c>
      <c r="E29" s="61">
        <f t="shared" si="3"/>
        <v>0</v>
      </c>
      <c r="F29" s="61">
        <f t="shared" si="3"/>
        <v>0</v>
      </c>
      <c r="G29" s="61">
        <f t="shared" si="3"/>
        <v>0</v>
      </c>
    </row>
    <row r="30" spans="1:7" ht="14.25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4.25" x14ac:dyDescent="0.25">
      <c r="A31" s="54"/>
      <c r="B31" s="54"/>
      <c r="C31" s="54"/>
      <c r="D31" s="54"/>
      <c r="E31" s="54"/>
      <c r="F31" s="54"/>
      <c r="G31" s="54"/>
    </row>
    <row r="32" spans="1:7" ht="14.25" x14ac:dyDescent="0.25">
      <c r="A32" s="14" t="s">
        <v>427</v>
      </c>
      <c r="B32" s="61">
        <f>B29+B22+B8</f>
        <v>36430225.469999999</v>
      </c>
      <c r="C32" s="61">
        <f t="shared" ref="C32:F32" si="4">C29+C22+C8</f>
        <v>38980341.252900004</v>
      </c>
      <c r="D32" s="61">
        <f t="shared" si="4"/>
        <v>40929358.315545008</v>
      </c>
      <c r="E32" s="61">
        <f t="shared" si="4"/>
        <v>42975826.231322259</v>
      </c>
      <c r="F32" s="61">
        <f t="shared" si="4"/>
        <v>45124617.542888366</v>
      </c>
      <c r="G32" s="61">
        <f>G29+G22+G8</f>
        <v>47380848.420032784</v>
      </c>
    </row>
    <row r="33" spans="1:7" ht="14.25" x14ac:dyDescent="0.25">
      <c r="A33" s="54"/>
      <c r="B33" s="54"/>
      <c r="C33" s="54"/>
      <c r="D33" s="54"/>
      <c r="E33" s="54"/>
      <c r="F33" s="54"/>
      <c r="G33" s="54"/>
    </row>
    <row r="34" spans="1:7" ht="14.25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28.5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ht="14.25" x14ac:dyDescent="0.25">
      <c r="A37" s="55" t="s">
        <v>429</v>
      </c>
      <c r="B37" s="61">
        <f>B36+B35</f>
        <v>0</v>
      </c>
      <c r="C37" s="61">
        <f t="shared" ref="C37:F37" si="5">C36+C35</f>
        <v>0</v>
      </c>
      <c r="D37" s="61">
        <f t="shared" si="5"/>
        <v>0</v>
      </c>
      <c r="E37" s="61">
        <f t="shared" si="5"/>
        <v>0</v>
      </c>
      <c r="F37" s="61">
        <f t="shared" si="5"/>
        <v>0</v>
      </c>
      <c r="G37" s="61">
        <f>G36+G35</f>
        <v>0</v>
      </c>
    </row>
    <row r="38" spans="1:7" ht="14.25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36430225.469999999</v>
      </c>
      <c r="Q2" s="18">
        <f>'Formato 7 a)'!C8</f>
        <v>38980341.252900004</v>
      </c>
      <c r="R2" s="18">
        <f>'Formato 7 a)'!D8</f>
        <v>40929358.315545008</v>
      </c>
      <c r="S2" s="18">
        <f>'Formato 7 a)'!E8</f>
        <v>42975826.231322259</v>
      </c>
      <c r="T2" s="18">
        <f>'Formato 7 a)'!F8</f>
        <v>45124617.542888366</v>
      </c>
      <c r="U2" s="18">
        <f>'Formato 7 a)'!G8</f>
        <v>47380848.420032784</v>
      </c>
    </row>
    <row r="3" spans="1:21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3890600</v>
      </c>
      <c r="Q9" s="18">
        <f>'Formato 7 a)'!C15</f>
        <v>4162942.0000000005</v>
      </c>
      <c r="R9" s="18">
        <f>'Formato 7 a)'!D15</f>
        <v>4371089.1000000006</v>
      </c>
      <c r="S9" s="18">
        <f>'Formato 7 a)'!E15</f>
        <v>4589643.5550000006</v>
      </c>
      <c r="T9" s="18">
        <f>'Formato 7 a)'!F15</f>
        <v>4819125.7327500004</v>
      </c>
      <c r="U9" s="18">
        <f>'Formato 7 a)'!G15</f>
        <v>5060082.0193875004</v>
      </c>
    </row>
    <row r="10" spans="1:21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31110000</v>
      </c>
      <c r="Q12" s="18">
        <f>'Formato 7 a)'!C18</f>
        <v>33287700.000000004</v>
      </c>
      <c r="R12" s="18">
        <f>'Formato 7 a)'!D18</f>
        <v>34952085.000000007</v>
      </c>
      <c r="S12" s="18">
        <f>'Formato 7 a)'!E18</f>
        <v>36699689.250000007</v>
      </c>
      <c r="T12" s="18">
        <f>'Formato 7 a)'!F18</f>
        <v>38534673.712500006</v>
      </c>
      <c r="U12" s="18">
        <f>'Formato 7 a)'!G18</f>
        <v>40461407.398125008</v>
      </c>
    </row>
    <row r="13" spans="1:21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1429625.47</v>
      </c>
      <c r="Q13" s="18">
        <f>'Formato 7 a)'!C19</f>
        <v>1529699.2529</v>
      </c>
      <c r="R13" s="18">
        <f>'Formato 7 a)'!D19</f>
        <v>1606184.215545</v>
      </c>
      <c r="S13" s="18">
        <f>'Formato 7 a)'!E19</f>
        <v>1686493.4263222502</v>
      </c>
      <c r="T13" s="18">
        <f>'Formato 7 a)'!F19</f>
        <v>1770818.0976383628</v>
      </c>
      <c r="U13" s="18">
        <f>'Formato 7 a)'!G19</f>
        <v>1859359.0025202809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36430225.469999999</v>
      </c>
      <c r="Q23" s="18">
        <f>'Formato 7 a)'!C32</f>
        <v>38980341.252900004</v>
      </c>
      <c r="R23" s="18">
        <f>'Formato 7 a)'!D32</f>
        <v>40929358.315545008</v>
      </c>
      <c r="S23" s="18">
        <f>'Formato 7 a)'!E32</f>
        <v>42975826.231322259</v>
      </c>
      <c r="T23" s="18">
        <f>'Formato 7 a)'!F32</f>
        <v>45124617.542888366</v>
      </c>
      <c r="U23" s="18">
        <f>'Formato 7 a)'!G32</f>
        <v>47380848.420032784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7" zoomScale="90" zoomScaleNormal="90" workbookViewId="0">
      <selection activeCell="B12" sqref="B12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03" t="s">
        <v>451</v>
      </c>
      <c r="B1" s="203"/>
      <c r="C1" s="203"/>
      <c r="D1" s="203"/>
      <c r="E1" s="203"/>
      <c r="F1" s="203"/>
      <c r="G1" s="203"/>
    </row>
    <row r="2" spans="1:7" customFormat="1" ht="14.25" x14ac:dyDescent="0.45">
      <c r="A2" s="185" t="str">
        <f>ENTIDAD</f>
        <v>Municipio de San Miguel de Allende, Gobierno del Estado de Guanajuato</v>
      </c>
      <c r="B2" s="186"/>
      <c r="C2" s="186"/>
      <c r="D2" s="186"/>
      <c r="E2" s="186"/>
      <c r="F2" s="186"/>
      <c r="G2" s="187"/>
    </row>
    <row r="3" spans="1:7" customFormat="1" ht="14.25" x14ac:dyDescent="0.45">
      <c r="A3" s="188" t="s">
        <v>452</v>
      </c>
      <c r="B3" s="189"/>
      <c r="C3" s="189"/>
      <c r="D3" s="189"/>
      <c r="E3" s="189"/>
      <c r="F3" s="189"/>
      <c r="G3" s="190"/>
    </row>
    <row r="4" spans="1:7" customFormat="1" ht="14.25" x14ac:dyDescent="0.45">
      <c r="A4" s="188" t="s">
        <v>118</v>
      </c>
      <c r="B4" s="189"/>
      <c r="C4" s="189"/>
      <c r="D4" s="189"/>
      <c r="E4" s="189"/>
      <c r="F4" s="189"/>
      <c r="G4" s="190"/>
    </row>
    <row r="5" spans="1:7" customFormat="1" ht="14.25" x14ac:dyDescent="0.45">
      <c r="A5" s="188" t="s">
        <v>415</v>
      </c>
      <c r="B5" s="189"/>
      <c r="C5" s="189"/>
      <c r="D5" s="189"/>
      <c r="E5" s="189"/>
      <c r="F5" s="189"/>
      <c r="G5" s="190"/>
    </row>
    <row r="6" spans="1:7" customFormat="1" x14ac:dyDescent="0.25">
      <c r="A6" s="215" t="s">
        <v>3142</v>
      </c>
      <c r="B6" s="51">
        <f>ANIO1P</f>
        <v>2020</v>
      </c>
      <c r="C6" s="213" t="str">
        <f>ANIO2P</f>
        <v>2021 (d)</v>
      </c>
      <c r="D6" s="213" t="str">
        <f>ANIO3P</f>
        <v>2022 (d)</v>
      </c>
      <c r="E6" s="213" t="str">
        <f>ANIO4P</f>
        <v>2023 (d)</v>
      </c>
      <c r="F6" s="213" t="str">
        <f>ANIO5P</f>
        <v>2024 (d)</v>
      </c>
      <c r="G6" s="213" t="str">
        <f>ANIO6P</f>
        <v>2025 (d)</v>
      </c>
    </row>
    <row r="7" spans="1:7" customFormat="1" ht="48.2" customHeight="1" x14ac:dyDescent="0.25">
      <c r="A7" s="216"/>
      <c r="B7" s="88" t="s">
        <v>3292</v>
      </c>
      <c r="C7" s="214"/>
      <c r="D7" s="214"/>
      <c r="E7" s="214"/>
      <c r="F7" s="214"/>
      <c r="G7" s="214"/>
    </row>
    <row r="8" spans="1:7" x14ac:dyDescent="0.25">
      <c r="A8" s="52" t="s">
        <v>453</v>
      </c>
      <c r="B8" s="59">
        <f>SUM(B9:B17)</f>
        <v>36430225.469999999</v>
      </c>
      <c r="C8" s="59">
        <f t="shared" ref="C8:G8" si="0">SUM(C9:C17)</f>
        <v>31473433.200000003</v>
      </c>
      <c r="D8" s="59">
        <f t="shared" si="0"/>
        <v>33047104.899999999</v>
      </c>
      <c r="E8" s="59">
        <f t="shared" si="0"/>
        <v>34699460.099999994</v>
      </c>
      <c r="F8" s="59">
        <f t="shared" si="0"/>
        <v>36434433.099999994</v>
      </c>
      <c r="G8" s="59">
        <f t="shared" si="0"/>
        <v>38256154.799999997</v>
      </c>
    </row>
    <row r="9" spans="1:7" x14ac:dyDescent="0.25">
      <c r="A9" s="53" t="s">
        <v>454</v>
      </c>
      <c r="B9" s="60">
        <v>20654573.100000001</v>
      </c>
      <c r="C9" s="60">
        <v>18581541.57</v>
      </c>
      <c r="D9" s="60">
        <v>19810618.640000001</v>
      </c>
      <c r="E9" s="60">
        <v>20801149.579999998</v>
      </c>
      <c r="F9" s="60">
        <v>21841207.059999999</v>
      </c>
      <c r="G9" s="60">
        <v>22933267.41</v>
      </c>
    </row>
    <row r="10" spans="1:7" x14ac:dyDescent="0.25">
      <c r="A10" s="53" t="s">
        <v>455</v>
      </c>
      <c r="B10" s="60">
        <v>3440963.4699999997</v>
      </c>
      <c r="C10" s="60">
        <v>2656291.1</v>
      </c>
      <c r="D10" s="60">
        <v>2789105.65</v>
      </c>
      <c r="E10" s="60">
        <v>2928560.94</v>
      </c>
      <c r="F10" s="60">
        <v>3074988.98</v>
      </c>
      <c r="G10" s="60">
        <v>3228738.43</v>
      </c>
    </row>
    <row r="11" spans="1:7" x14ac:dyDescent="0.25">
      <c r="A11" s="53" t="s">
        <v>456</v>
      </c>
      <c r="B11" s="60">
        <v>3730933.4099999997</v>
      </c>
      <c r="C11" s="60">
        <v>3444685.69</v>
      </c>
      <c r="D11" s="60">
        <v>3616919.98</v>
      </c>
      <c r="E11" s="60">
        <v>3797765.97</v>
      </c>
      <c r="F11" s="60">
        <v>3987654.27</v>
      </c>
      <c r="G11" s="60">
        <v>4187036.99</v>
      </c>
    </row>
    <row r="12" spans="1:7" x14ac:dyDescent="0.25">
      <c r="A12" s="53" t="s">
        <v>457</v>
      </c>
      <c r="B12" s="60">
        <v>3721875.49</v>
      </c>
      <c r="C12" s="60">
        <v>4891245.12</v>
      </c>
      <c r="D12" s="60">
        <v>5135807.38</v>
      </c>
      <c r="E12" s="60">
        <v>5392597.7400000002</v>
      </c>
      <c r="F12" s="60">
        <v>5662227.6299999999</v>
      </c>
      <c r="G12" s="60">
        <v>5945339.0099999998</v>
      </c>
    </row>
    <row r="13" spans="1:7" x14ac:dyDescent="0.25">
      <c r="A13" s="53" t="s">
        <v>458</v>
      </c>
      <c r="B13" s="60">
        <v>731880</v>
      </c>
      <c r="C13" s="60">
        <v>1899669.72</v>
      </c>
      <c r="D13" s="60">
        <v>1694653.25</v>
      </c>
      <c r="E13" s="60">
        <v>1779385.87</v>
      </c>
      <c r="F13" s="60">
        <v>1868355.16</v>
      </c>
      <c r="G13" s="60">
        <v>1961772.96</v>
      </c>
    </row>
    <row r="14" spans="1:7" x14ac:dyDescent="0.25">
      <c r="A14" s="53" t="s">
        <v>459</v>
      </c>
      <c r="B14" s="60">
        <v>3900000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180">
        <v>250000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36430225.469999999</v>
      </c>
      <c r="C30" s="61">
        <f t="shared" ref="C30:G30" si="2">C8+C19</f>
        <v>31473433.200000003</v>
      </c>
      <c r="D30" s="61">
        <f t="shared" si="2"/>
        <v>33047104.899999999</v>
      </c>
      <c r="E30" s="61">
        <f t="shared" si="2"/>
        <v>34699460.099999994</v>
      </c>
      <c r="F30" s="61">
        <f t="shared" si="2"/>
        <v>36434433.099999994</v>
      </c>
      <c r="G30" s="61">
        <f t="shared" si="2"/>
        <v>38256154.799999997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36430225.469999999</v>
      </c>
      <c r="Q2" s="18">
        <f>'Formato 7 b)'!C8</f>
        <v>31473433.200000003</v>
      </c>
      <c r="R2" s="18">
        <f>'Formato 7 b)'!D8</f>
        <v>33047104.899999999</v>
      </c>
      <c r="S2" s="18">
        <f>'Formato 7 b)'!E8</f>
        <v>34699460.099999994</v>
      </c>
      <c r="T2" s="18">
        <f>'Formato 7 b)'!F8</f>
        <v>36434433.099999994</v>
      </c>
      <c r="U2" s="18">
        <f>'Formato 7 b)'!G8</f>
        <v>38256154.799999997</v>
      </c>
    </row>
    <row r="3" spans="1:21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20654573.100000001</v>
      </c>
      <c r="Q3" s="18">
        <f>'Formato 7 b)'!C9</f>
        <v>18581541.57</v>
      </c>
      <c r="R3" s="18">
        <f>'Formato 7 b)'!D9</f>
        <v>19810618.640000001</v>
      </c>
      <c r="S3" s="18">
        <f>'Formato 7 b)'!E9</f>
        <v>20801149.579999998</v>
      </c>
      <c r="T3" s="18">
        <f>'Formato 7 b)'!F9</f>
        <v>21841207.059999999</v>
      </c>
      <c r="U3" s="18">
        <f>'Formato 7 b)'!G9</f>
        <v>22933267.41</v>
      </c>
    </row>
    <row r="4" spans="1:21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3440963.4699999997</v>
      </c>
      <c r="Q4" s="18">
        <f>'Formato 7 b)'!C10</f>
        <v>2656291.1</v>
      </c>
      <c r="R4" s="18">
        <f>'Formato 7 b)'!D10</f>
        <v>2789105.65</v>
      </c>
      <c r="S4" s="18">
        <f>'Formato 7 b)'!E10</f>
        <v>2928560.94</v>
      </c>
      <c r="T4" s="18">
        <f>'Formato 7 b)'!F10</f>
        <v>3074988.98</v>
      </c>
      <c r="U4" s="18">
        <f>'Formato 7 b)'!G10</f>
        <v>3228738.43</v>
      </c>
    </row>
    <row r="5" spans="1:21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3730933.4099999997</v>
      </c>
      <c r="Q5" s="18">
        <f>'Formato 7 b)'!C11</f>
        <v>3444685.69</v>
      </c>
      <c r="R5" s="18">
        <f>'Formato 7 b)'!D11</f>
        <v>3616919.98</v>
      </c>
      <c r="S5" s="18">
        <f>'Formato 7 b)'!E11</f>
        <v>3797765.97</v>
      </c>
      <c r="T5" s="18">
        <f>'Formato 7 b)'!F11</f>
        <v>3987654.27</v>
      </c>
      <c r="U5" s="18">
        <f>'Formato 7 b)'!G11</f>
        <v>4187036.99</v>
      </c>
    </row>
    <row r="6" spans="1:21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3721875.49</v>
      </c>
      <c r="Q6" s="18">
        <f>'Formato 7 b)'!C12</f>
        <v>4891245.12</v>
      </c>
      <c r="R6" s="18">
        <f>'Formato 7 b)'!D12</f>
        <v>5135807.38</v>
      </c>
      <c r="S6" s="18">
        <f>'Formato 7 b)'!E12</f>
        <v>5392597.7400000002</v>
      </c>
      <c r="T6" s="18">
        <f>'Formato 7 b)'!F12</f>
        <v>5662227.6299999999</v>
      </c>
      <c r="U6" s="18">
        <f>'Formato 7 b)'!G12</f>
        <v>5945339.0099999998</v>
      </c>
    </row>
    <row r="7" spans="1:21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731880</v>
      </c>
      <c r="Q7" s="18">
        <f>'Formato 7 b)'!C13</f>
        <v>1899669.72</v>
      </c>
      <c r="R7" s="18">
        <f>'Formato 7 b)'!D13</f>
        <v>1694653.25</v>
      </c>
      <c r="S7" s="18">
        <f>'Formato 7 b)'!E13</f>
        <v>1779385.87</v>
      </c>
      <c r="T7" s="18">
        <f>'Formato 7 b)'!F13</f>
        <v>1868355.16</v>
      </c>
      <c r="U7" s="18">
        <f>'Formato 7 b)'!G13</f>
        <v>1961772.96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3900000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250000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36430225.469999999</v>
      </c>
      <c r="Q22" s="18">
        <f>'Formato 7 b)'!C30</f>
        <v>31473433.200000003</v>
      </c>
      <c r="R22" s="18">
        <f>'Formato 7 b)'!D30</f>
        <v>33047104.899999999</v>
      </c>
      <c r="S22" s="18">
        <f>'Formato 7 b)'!E30</f>
        <v>34699460.099999994</v>
      </c>
      <c r="T22" s="18">
        <f>'Formato 7 b)'!F30</f>
        <v>36434433.099999994</v>
      </c>
      <c r="U22" s="18">
        <f>'Formato 7 b)'!G30</f>
        <v>38256154.799999997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2" zoomScale="90" zoomScaleNormal="90" workbookViewId="0">
      <selection activeCell="G13" sqref="G13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03" t="s">
        <v>466</v>
      </c>
      <c r="B1" s="203"/>
      <c r="C1" s="203"/>
      <c r="D1" s="203"/>
      <c r="E1" s="203"/>
      <c r="F1" s="203"/>
      <c r="G1" s="203"/>
    </row>
    <row r="2" spans="1:7" ht="14.25" x14ac:dyDescent="0.45">
      <c r="A2" s="185" t="str">
        <f>ENTIDAD</f>
        <v>Municipio de San Miguel de Allende, Gobierno del Estado de Guanajuato</v>
      </c>
      <c r="B2" s="186"/>
      <c r="C2" s="186"/>
      <c r="D2" s="186"/>
      <c r="E2" s="186"/>
      <c r="F2" s="186"/>
      <c r="G2" s="187"/>
    </row>
    <row r="3" spans="1:7" ht="14.25" x14ac:dyDescent="0.45">
      <c r="A3" s="188" t="s">
        <v>467</v>
      </c>
      <c r="B3" s="189"/>
      <c r="C3" s="189"/>
      <c r="D3" s="189"/>
      <c r="E3" s="189"/>
      <c r="F3" s="189"/>
      <c r="G3" s="190"/>
    </row>
    <row r="4" spans="1:7" ht="14.25" x14ac:dyDescent="0.45">
      <c r="A4" s="194" t="s">
        <v>118</v>
      </c>
      <c r="B4" s="195"/>
      <c r="C4" s="195"/>
      <c r="D4" s="195"/>
      <c r="E4" s="195"/>
      <c r="F4" s="195"/>
      <c r="G4" s="196"/>
    </row>
    <row r="5" spans="1:7" x14ac:dyDescent="0.25">
      <c r="A5" s="220" t="s">
        <v>3289</v>
      </c>
      <c r="B5" s="218" t="str">
        <f>ANIO5R</f>
        <v>2014 ¹ (c)</v>
      </c>
      <c r="C5" s="218" t="str">
        <f>ANIO4R</f>
        <v>2015 ¹ (c)</v>
      </c>
      <c r="D5" s="218" t="str">
        <f>ANIO3R</f>
        <v>2016 ¹ (c)</v>
      </c>
      <c r="E5" s="218" t="str">
        <f>ANIO2R</f>
        <v>2017 ¹ (c)</v>
      </c>
      <c r="F5" s="218" t="str">
        <f>ANIO1R</f>
        <v>2018 ¹ (c)</v>
      </c>
      <c r="G5" s="51">
        <f>ANIO_INFORME</f>
        <v>2019</v>
      </c>
    </row>
    <row r="6" spans="1:7" ht="32.1" customHeight="1" x14ac:dyDescent="0.25">
      <c r="A6" s="221"/>
      <c r="B6" s="219"/>
      <c r="C6" s="219"/>
      <c r="D6" s="219"/>
      <c r="E6" s="219"/>
      <c r="F6" s="219"/>
      <c r="G6" s="88" t="s">
        <v>3295</v>
      </c>
    </row>
    <row r="7" spans="1:7" x14ac:dyDescent="0.25">
      <c r="A7" s="52" t="s">
        <v>468</v>
      </c>
      <c r="B7" s="59">
        <f>SUM(B8:B19)</f>
        <v>24780183.84</v>
      </c>
      <c r="C7" s="59">
        <f t="shared" ref="C7:G7" si="0">SUM(C8:C19)</f>
        <v>23005395.140000001</v>
      </c>
      <c r="D7" s="59">
        <f t="shared" si="0"/>
        <v>25557335.119999997</v>
      </c>
      <c r="E7" s="59">
        <f t="shared" si="0"/>
        <v>27079469.43</v>
      </c>
      <c r="F7" s="59">
        <f t="shared" si="0"/>
        <v>32920240.289999999</v>
      </c>
      <c r="G7" s="59">
        <f t="shared" si="0"/>
        <v>47443462.360000007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152">
        <v>491332.95</v>
      </c>
    </row>
    <row r="14" spans="1:7" x14ac:dyDescent="0.25">
      <c r="A14" s="53" t="s">
        <v>475</v>
      </c>
      <c r="B14" s="60">
        <f>6693778.81+7693.34</f>
        <v>6701472.1499999994</v>
      </c>
      <c r="C14" s="60">
        <v>1687885.43</v>
      </c>
      <c r="D14" s="60">
        <f>145341.34+257458+1869819.89</f>
        <v>2272619.23</v>
      </c>
      <c r="E14" s="60">
        <v>22155221.41</v>
      </c>
      <c r="F14" s="60">
        <v>2862082.05</v>
      </c>
      <c r="G14" s="152">
        <f>+'Formato 5'!F15</f>
        <v>10329589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3299</v>
      </c>
      <c r="B17" s="60">
        <v>16588762.689999999</v>
      </c>
      <c r="C17" s="60">
        <f>18911555.81+792391.57</f>
        <v>19703947.379999999</v>
      </c>
      <c r="D17" s="60">
        <f>666219.43+20664274.99+977511.57</f>
        <v>22308005.989999998</v>
      </c>
      <c r="E17" s="60">
        <v>2293125.1800000002</v>
      </c>
      <c r="F17" s="60">
        <v>24306285.469999999</v>
      </c>
      <c r="G17" s="152">
        <f>+'Formato 5'!F34</f>
        <v>30546269.280000001</v>
      </c>
    </row>
    <row r="18" spans="1:7" x14ac:dyDescent="0.25">
      <c r="A18" s="53" t="s">
        <v>478</v>
      </c>
      <c r="B18" s="60">
        <v>1489949</v>
      </c>
      <c r="C18" s="60">
        <f>1268217.33+345345</f>
        <v>1613562.33</v>
      </c>
      <c r="D18" s="60">
        <f>27180+949529.9</f>
        <v>976709.9</v>
      </c>
      <c r="E18" s="60">
        <v>2631122.84</v>
      </c>
      <c r="F18" s="60">
        <v>3300109.48</v>
      </c>
      <c r="G18" s="152">
        <f>+'Formato 5'!F36</f>
        <v>6076271.1299999999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2451763.29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24780183.84</v>
      </c>
      <c r="C31" s="61">
        <f t="shared" ref="C31:G31" si="3">C7+C21+C28</f>
        <v>23005395.140000001</v>
      </c>
      <c r="D31" s="61">
        <f t="shared" si="3"/>
        <v>25557335.119999997</v>
      </c>
      <c r="E31" s="61">
        <f t="shared" si="3"/>
        <v>27079469.43</v>
      </c>
      <c r="F31" s="61">
        <f t="shared" si="3"/>
        <v>32920240.289999999</v>
      </c>
      <c r="G31" s="61">
        <f t="shared" si="3"/>
        <v>47443462.360000007</v>
      </c>
    </row>
    <row r="32" spans="1:7" ht="14.25" x14ac:dyDescent="0.25">
      <c r="A32" s="54"/>
      <c r="B32" s="54"/>
      <c r="C32" s="54"/>
      <c r="D32" s="54"/>
      <c r="E32" s="54"/>
      <c r="F32" s="54"/>
      <c r="G32" s="54"/>
    </row>
    <row r="33" spans="1:7" ht="14.25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28.5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14.25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ht="14.25" x14ac:dyDescent="0.25">
      <c r="A37" s="65"/>
      <c r="B37" s="65"/>
      <c r="C37" s="65"/>
      <c r="D37" s="65"/>
      <c r="E37" s="65"/>
      <c r="F37" s="65"/>
      <c r="G37" s="65"/>
    </row>
    <row r="38" spans="1:7" ht="14.25" x14ac:dyDescent="0.25">
      <c r="A38" s="90"/>
    </row>
    <row r="39" spans="1:7" ht="15" customHeight="1" x14ac:dyDescent="0.25">
      <c r="A39" s="217" t="s">
        <v>3293</v>
      </c>
      <c r="B39" s="217"/>
      <c r="C39" s="217"/>
      <c r="D39" s="217"/>
      <c r="E39" s="217"/>
      <c r="F39" s="217"/>
      <c r="G39" s="217"/>
    </row>
    <row r="40" spans="1:7" ht="15" customHeight="1" x14ac:dyDescent="0.25">
      <c r="A40" s="217" t="s">
        <v>3294</v>
      </c>
      <c r="B40" s="217"/>
      <c r="C40" s="217"/>
      <c r="D40" s="217"/>
      <c r="E40" s="217"/>
      <c r="F40" s="217"/>
      <c r="G40" s="217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24780183.84</v>
      </c>
      <c r="Q2" s="18">
        <f>'Formato 7 c)'!C7</f>
        <v>23005395.140000001</v>
      </c>
      <c r="R2" s="18">
        <f>'Formato 7 c)'!D7</f>
        <v>25557335.119999997</v>
      </c>
      <c r="S2" s="18">
        <f>'Formato 7 c)'!E7</f>
        <v>27079469.43</v>
      </c>
      <c r="T2" s="18">
        <f>'Formato 7 c)'!F7</f>
        <v>32920240.289999999</v>
      </c>
      <c r="U2" s="18">
        <f>'Formato 7 c)'!G7</f>
        <v>47443462.360000007</v>
      </c>
    </row>
    <row r="3" spans="1:21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491332.95</v>
      </c>
    </row>
    <row r="9" spans="1:21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6701472.1499999994</v>
      </c>
      <c r="Q9" s="18">
        <f>'Formato 7 c)'!C14</f>
        <v>1687885.43</v>
      </c>
      <c r="R9" s="18">
        <f>'Formato 7 c)'!D14</f>
        <v>2272619.23</v>
      </c>
      <c r="S9" s="18">
        <f>'Formato 7 c)'!E14</f>
        <v>22155221.41</v>
      </c>
      <c r="T9" s="18">
        <f>'Formato 7 c)'!F14</f>
        <v>2862082.05</v>
      </c>
      <c r="U9" s="18">
        <f>'Formato 7 c)'!G14</f>
        <v>10329589</v>
      </c>
    </row>
    <row r="10" spans="1:21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16588762.689999999</v>
      </c>
      <c r="Q12" s="18">
        <f>'Formato 7 c)'!C17</f>
        <v>19703947.379999999</v>
      </c>
      <c r="R12" s="18">
        <f>'Formato 7 c)'!D17</f>
        <v>22308005.989999998</v>
      </c>
      <c r="S12" s="18">
        <f>'Formato 7 c)'!E17</f>
        <v>2293125.1800000002</v>
      </c>
      <c r="T12" s="18">
        <f>'Formato 7 c)'!F17</f>
        <v>24306285.469999999</v>
      </c>
      <c r="U12" s="18">
        <f>'Formato 7 c)'!G17</f>
        <v>30546269.280000001</v>
      </c>
    </row>
    <row r="13" spans="1:21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1489949</v>
      </c>
      <c r="Q13" s="18">
        <f>'Formato 7 c)'!C18</f>
        <v>1613562.33</v>
      </c>
      <c r="R13" s="18">
        <f>'Formato 7 c)'!D18</f>
        <v>976709.9</v>
      </c>
      <c r="S13" s="18">
        <f>'Formato 7 c)'!E18</f>
        <v>2631122.84</v>
      </c>
      <c r="T13" s="18">
        <f>'Formato 7 c)'!F18</f>
        <v>3300109.48</v>
      </c>
      <c r="U13" s="18">
        <f>'Formato 7 c)'!G18</f>
        <v>6076271.1299999999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2451763.29</v>
      </c>
      <c r="U14" s="18">
        <f>'Formato 7 c)'!G19</f>
        <v>0</v>
      </c>
    </row>
    <row r="15" spans="1:21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24780183.84</v>
      </c>
      <c r="Q23" s="18">
        <f>'Formato 7 c)'!C31</f>
        <v>23005395.140000001</v>
      </c>
      <c r="R23" s="18">
        <f>'Formato 7 c)'!D31</f>
        <v>25557335.119999997</v>
      </c>
      <c r="S23" s="18">
        <f>'Formato 7 c)'!E31</f>
        <v>27079469.43</v>
      </c>
      <c r="T23" s="18">
        <f>'Formato 7 c)'!F31</f>
        <v>32920240.289999999</v>
      </c>
      <c r="U23" s="18">
        <f>'Formato 7 c)'!G31</f>
        <v>47443462.360000007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activeCell="G12" sqref="G1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03" t="s">
        <v>490</v>
      </c>
      <c r="B1" s="203"/>
      <c r="C1" s="203"/>
      <c r="D1" s="203"/>
      <c r="E1" s="203"/>
      <c r="F1" s="203"/>
      <c r="G1" s="203"/>
    </row>
    <row r="2" spans="1:7" ht="14.25" x14ac:dyDescent="0.45">
      <c r="A2" s="185" t="str">
        <f>ENTIDAD</f>
        <v>Municipio de San Miguel de Allende, Gobierno del Estado de Guanajuato</v>
      </c>
      <c r="B2" s="186"/>
      <c r="C2" s="186"/>
      <c r="D2" s="186"/>
      <c r="E2" s="186"/>
      <c r="F2" s="186"/>
      <c r="G2" s="187"/>
    </row>
    <row r="3" spans="1:7" ht="14.25" x14ac:dyDescent="0.45">
      <c r="A3" s="188" t="s">
        <v>491</v>
      </c>
      <c r="B3" s="189"/>
      <c r="C3" s="189"/>
      <c r="D3" s="189"/>
      <c r="E3" s="189"/>
      <c r="F3" s="189"/>
      <c r="G3" s="190"/>
    </row>
    <row r="4" spans="1:7" ht="14.25" x14ac:dyDescent="0.45">
      <c r="A4" s="194" t="s">
        <v>118</v>
      </c>
      <c r="B4" s="195"/>
      <c r="C4" s="195"/>
      <c r="D4" s="195"/>
      <c r="E4" s="195"/>
      <c r="F4" s="195"/>
      <c r="G4" s="196"/>
    </row>
    <row r="5" spans="1:7" x14ac:dyDescent="0.25">
      <c r="A5" s="222" t="s">
        <v>3142</v>
      </c>
      <c r="B5" s="218" t="str">
        <f>ANIO5R</f>
        <v>2014 ¹ (c)</v>
      </c>
      <c r="C5" s="218" t="str">
        <f>ANIO4R</f>
        <v>2015 ¹ (c)</v>
      </c>
      <c r="D5" s="218" t="str">
        <f>ANIO3R</f>
        <v>2016 ¹ (c)</v>
      </c>
      <c r="E5" s="218" t="str">
        <f>ANIO2R</f>
        <v>2017 ¹ (c)</v>
      </c>
      <c r="F5" s="218" t="str">
        <f>ANIO1R</f>
        <v>2018 ¹ (c)</v>
      </c>
      <c r="G5" s="51">
        <f>ANIO_INFORME</f>
        <v>2019</v>
      </c>
    </row>
    <row r="6" spans="1:7" ht="32.1" customHeight="1" x14ac:dyDescent="0.25">
      <c r="A6" s="223"/>
      <c r="B6" s="219"/>
      <c r="C6" s="219"/>
      <c r="D6" s="219"/>
      <c r="E6" s="219"/>
      <c r="F6" s="219"/>
      <c r="G6" s="88" t="s">
        <v>3296</v>
      </c>
    </row>
    <row r="7" spans="1:7" ht="14.25" x14ac:dyDescent="0.45">
      <c r="A7" s="52" t="s">
        <v>492</v>
      </c>
      <c r="B7" s="59">
        <f>SUM(B8:B16)</f>
        <v>22913772.66</v>
      </c>
      <c r="C7" s="59">
        <f t="shared" ref="C7:G7" si="0">SUM(C8:C16)</f>
        <v>20335865.719999999</v>
      </c>
      <c r="D7" s="59">
        <f t="shared" si="0"/>
        <v>24730593.530000001</v>
      </c>
      <c r="E7" s="59">
        <f t="shared" si="0"/>
        <v>24720651.659999996</v>
      </c>
      <c r="F7" s="59">
        <f t="shared" si="0"/>
        <v>26901695.920000002</v>
      </c>
      <c r="G7" s="59">
        <f t="shared" si="0"/>
        <v>37396918.49000001</v>
      </c>
    </row>
    <row r="8" spans="1:7" x14ac:dyDescent="0.25">
      <c r="A8" s="53" t="s">
        <v>454</v>
      </c>
      <c r="B8" s="60">
        <v>12035813.98</v>
      </c>
      <c r="C8" s="60">
        <v>12219838.539999999</v>
      </c>
      <c r="D8" s="60">
        <v>13765012.279999999</v>
      </c>
      <c r="E8" s="60">
        <v>13805862.609999999</v>
      </c>
      <c r="F8" s="60">
        <v>14256772.789999999</v>
      </c>
      <c r="G8" s="60">
        <f>+'Formato 6 a)'!F10</f>
        <v>17864905.140000004</v>
      </c>
    </row>
    <row r="9" spans="1:7" x14ac:dyDescent="0.25">
      <c r="A9" s="53" t="s">
        <v>455</v>
      </c>
      <c r="B9" s="60">
        <v>4453957.75</v>
      </c>
      <c r="C9" s="60">
        <v>1443612.01</v>
      </c>
      <c r="D9" s="60">
        <v>1328636.27</v>
      </c>
      <c r="E9" s="60">
        <v>1928164.86</v>
      </c>
      <c r="F9" s="60">
        <v>2852656.39</v>
      </c>
      <c r="G9" s="60">
        <f>+'Formato 6 a)'!F18</f>
        <v>3189025.57</v>
      </c>
    </row>
    <row r="10" spans="1:7" x14ac:dyDescent="0.25">
      <c r="A10" s="53" t="s">
        <v>456</v>
      </c>
      <c r="B10" s="60">
        <v>2264302.02</v>
      </c>
      <c r="C10" s="60">
        <v>2709586.7</v>
      </c>
      <c r="D10" s="60">
        <v>3120556.3</v>
      </c>
      <c r="E10" s="60">
        <v>2753976.08</v>
      </c>
      <c r="F10" s="60">
        <v>1990571.55</v>
      </c>
      <c r="G10" s="176">
        <f>+'Formato 6 a)'!F28</f>
        <v>3550971.28</v>
      </c>
    </row>
    <row r="11" spans="1:7" x14ac:dyDescent="0.25">
      <c r="A11" s="53" t="s">
        <v>457</v>
      </c>
      <c r="B11" s="60">
        <v>4057306.84</v>
      </c>
      <c r="C11" s="60">
        <v>3213312.65</v>
      </c>
      <c r="D11" s="60">
        <v>2522313.94</v>
      </c>
      <c r="E11" s="60">
        <v>4229954.18</v>
      </c>
      <c r="F11" s="60">
        <v>6440942.0099999998</v>
      </c>
      <c r="G11" s="60">
        <f>+'Formato 6 a)'!F38</f>
        <v>8717086.2200000007</v>
      </c>
    </row>
    <row r="12" spans="1:7" x14ac:dyDescent="0.25">
      <c r="A12" s="53" t="s">
        <v>458</v>
      </c>
      <c r="B12" s="60">
        <v>102392.07</v>
      </c>
      <c r="C12" s="60">
        <v>749515.82</v>
      </c>
      <c r="D12" s="60">
        <v>2886722.96</v>
      </c>
      <c r="E12" s="60">
        <v>2002693.93</v>
      </c>
      <c r="F12" s="60">
        <v>1360753.18</v>
      </c>
      <c r="G12" s="60">
        <f>+'Formato 6 a)'!F48</f>
        <v>1317660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1107351.78</v>
      </c>
      <c r="E13" s="60">
        <v>0</v>
      </c>
      <c r="F13" s="60">
        <v>0</v>
      </c>
      <c r="G13" s="60">
        <f>+'Formato 6 a)'!F58</f>
        <v>2607270.2799999998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150000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22913772.66</v>
      </c>
      <c r="C29" s="60">
        <f t="shared" ref="C29:G29" si="2">C7+C18</f>
        <v>20335865.719999999</v>
      </c>
      <c r="D29" s="60">
        <f t="shared" si="2"/>
        <v>24730593.530000001</v>
      </c>
      <c r="E29" s="60">
        <f t="shared" si="2"/>
        <v>24720651.659999996</v>
      </c>
      <c r="F29" s="60">
        <f t="shared" si="2"/>
        <v>26901695.920000002</v>
      </c>
      <c r="G29" s="60">
        <f t="shared" si="2"/>
        <v>37396918.49000001</v>
      </c>
    </row>
    <row r="30" spans="1:7" ht="14.25" x14ac:dyDescent="0.25">
      <c r="A30" s="58"/>
      <c r="B30" s="58"/>
      <c r="C30" s="58"/>
      <c r="D30" s="58"/>
      <c r="E30" s="58"/>
      <c r="F30" s="58"/>
      <c r="G30" s="58"/>
    </row>
    <row r="31" spans="1:7" ht="14.25" x14ac:dyDescent="0.25">
      <c r="A31" s="90"/>
    </row>
    <row r="32" spans="1:7" ht="14.25" x14ac:dyDescent="0.25">
      <c r="A32" s="217" t="s">
        <v>3293</v>
      </c>
      <c r="B32" s="217"/>
      <c r="C32" s="217"/>
      <c r="D32" s="217"/>
      <c r="E32" s="217"/>
      <c r="F32" s="217"/>
      <c r="G32" s="217"/>
    </row>
    <row r="33" spans="1:7" x14ac:dyDescent="0.25">
      <c r="A33" s="217" t="s">
        <v>3294</v>
      </c>
      <c r="B33" s="217"/>
      <c r="C33" s="217"/>
      <c r="D33" s="217"/>
      <c r="E33" s="217"/>
      <c r="F33" s="217"/>
      <c r="G33" s="217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22913772.66</v>
      </c>
      <c r="Q2" s="18">
        <f>'Formato 7 d)'!C7</f>
        <v>20335865.719999999</v>
      </c>
      <c r="R2" s="18">
        <f>'Formato 7 d)'!D7</f>
        <v>24730593.530000001</v>
      </c>
      <c r="S2" s="18">
        <f>'Formato 7 d)'!E7</f>
        <v>24720651.659999996</v>
      </c>
      <c r="T2" s="18">
        <f>'Formato 7 d)'!F7</f>
        <v>26901695.920000002</v>
      </c>
      <c r="U2" s="18">
        <f>'Formato 7 d)'!G7</f>
        <v>37396918.49000001</v>
      </c>
    </row>
    <row r="3" spans="1:21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12035813.98</v>
      </c>
      <c r="Q3" s="18">
        <f>'Formato 7 d)'!C8</f>
        <v>12219838.539999999</v>
      </c>
      <c r="R3" s="18">
        <f>'Formato 7 d)'!D8</f>
        <v>13765012.279999999</v>
      </c>
      <c r="S3" s="18">
        <f>'Formato 7 d)'!E8</f>
        <v>13805862.609999999</v>
      </c>
      <c r="T3" s="18">
        <f>'Formato 7 d)'!F8</f>
        <v>14256772.789999999</v>
      </c>
      <c r="U3" s="18">
        <f>'Formato 7 d)'!G8</f>
        <v>17864905.140000004</v>
      </c>
    </row>
    <row r="4" spans="1:21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4453957.75</v>
      </c>
      <c r="Q4" s="18">
        <f>'Formato 7 d)'!C9</f>
        <v>1443612.01</v>
      </c>
      <c r="R4" s="18">
        <f>'Formato 7 d)'!D9</f>
        <v>1328636.27</v>
      </c>
      <c r="S4" s="18">
        <f>'Formato 7 d)'!E9</f>
        <v>1928164.86</v>
      </c>
      <c r="T4" s="18">
        <f>'Formato 7 d)'!F9</f>
        <v>2852656.39</v>
      </c>
      <c r="U4" s="18">
        <f>'Formato 7 d)'!G9</f>
        <v>3189025.57</v>
      </c>
    </row>
    <row r="5" spans="1:21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2264302.02</v>
      </c>
      <c r="Q5" s="18">
        <f>'Formato 7 d)'!C10</f>
        <v>2709586.7</v>
      </c>
      <c r="R5" s="18">
        <f>'Formato 7 d)'!D10</f>
        <v>3120556.3</v>
      </c>
      <c r="S5" s="18">
        <f>'Formato 7 d)'!E10</f>
        <v>2753976.08</v>
      </c>
      <c r="T5" s="18">
        <f>'Formato 7 d)'!F10</f>
        <v>1990571.55</v>
      </c>
      <c r="U5" s="18">
        <f>'Formato 7 d)'!G10</f>
        <v>3550971.28</v>
      </c>
    </row>
    <row r="6" spans="1:21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4057306.84</v>
      </c>
      <c r="Q6" s="18">
        <f>'Formato 7 d)'!C11</f>
        <v>3213312.65</v>
      </c>
      <c r="R6" s="18">
        <f>'Formato 7 d)'!D11</f>
        <v>2522313.94</v>
      </c>
      <c r="S6" s="18">
        <f>'Formato 7 d)'!E11</f>
        <v>4229954.18</v>
      </c>
      <c r="T6" s="18">
        <f>'Formato 7 d)'!F11</f>
        <v>6440942.0099999998</v>
      </c>
      <c r="U6" s="18">
        <f>'Formato 7 d)'!G11</f>
        <v>8717086.2200000007</v>
      </c>
    </row>
    <row r="7" spans="1:21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102392.07</v>
      </c>
      <c r="Q7" s="18">
        <f>'Formato 7 d)'!C12</f>
        <v>749515.82</v>
      </c>
      <c r="R7" s="18">
        <f>'Formato 7 d)'!D12</f>
        <v>2886722.96</v>
      </c>
      <c r="S7" s="18">
        <f>'Formato 7 d)'!E12</f>
        <v>2002693.93</v>
      </c>
      <c r="T7" s="18">
        <f>'Formato 7 d)'!F12</f>
        <v>1360753.18</v>
      </c>
      <c r="U7" s="18">
        <f>'Formato 7 d)'!G12</f>
        <v>1317660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1107351.78</v>
      </c>
      <c r="S8" s="18">
        <f>'Formato 7 d)'!E13</f>
        <v>0</v>
      </c>
      <c r="T8" s="18">
        <f>'Formato 7 d)'!F13</f>
        <v>0</v>
      </c>
      <c r="U8" s="18">
        <f>'Formato 7 d)'!G13</f>
        <v>2607270.2799999998</v>
      </c>
    </row>
    <row r="9" spans="1:21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150000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22913772.66</v>
      </c>
      <c r="Q22" s="18">
        <f>'Formato 7 d)'!C29</f>
        <v>20335865.719999999</v>
      </c>
      <c r="R22" s="18">
        <f>'Formato 7 d)'!D29</f>
        <v>24730593.530000001</v>
      </c>
      <c r="S22" s="18">
        <f>'Formato 7 d)'!E29</f>
        <v>24720651.659999996</v>
      </c>
      <c r="T22" s="18">
        <f>'Formato 7 d)'!F29</f>
        <v>26901695.920000002</v>
      </c>
      <c r="U22" s="18">
        <f>'Formato 7 d)'!G29</f>
        <v>37396918.49000001</v>
      </c>
    </row>
    <row r="23" spans="1:21" x14ac:dyDescent="0.4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C16" sqref="C1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97" t="s">
        <v>495</v>
      </c>
      <c r="B1" s="197"/>
      <c r="C1" s="197"/>
      <c r="D1" s="197"/>
      <c r="E1" s="197"/>
      <c r="F1" s="197"/>
      <c r="G1" s="111"/>
    </row>
    <row r="2" spans="1:7" ht="14.25" x14ac:dyDescent="0.45">
      <c r="A2" s="185" t="str">
        <f>ENTE_PUBLICO</f>
        <v>ORGANISMO, Gobierno del Estado de Guanajuato</v>
      </c>
      <c r="B2" s="186"/>
      <c r="C2" s="186"/>
      <c r="D2" s="186"/>
      <c r="E2" s="186"/>
      <c r="F2" s="187"/>
    </row>
    <row r="3" spans="1:7" ht="14.25" x14ac:dyDescent="0.45">
      <c r="A3" s="194" t="s">
        <v>496</v>
      </c>
      <c r="B3" s="195"/>
      <c r="C3" s="195"/>
      <c r="D3" s="195"/>
      <c r="E3" s="195"/>
      <c r="F3" s="196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ht="14.25" x14ac:dyDescent="0.25">
      <c r="A28" s="137" t="s">
        <v>520</v>
      </c>
      <c r="B28" s="60"/>
      <c r="C28" s="60"/>
      <c r="D28" s="60"/>
      <c r="E28" s="60"/>
      <c r="F28" s="60"/>
    </row>
    <row r="29" spans="1:6" ht="14.25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25">
      <c r="A31" s="137" t="s">
        <v>506</v>
      </c>
      <c r="B31" s="60"/>
      <c r="C31" s="60"/>
      <c r="D31" s="60"/>
      <c r="E31" s="60"/>
      <c r="F31" s="60"/>
    </row>
    <row r="32" spans="1:6" ht="14.25" x14ac:dyDescent="0.25">
      <c r="A32" s="137" t="s">
        <v>510</v>
      </c>
      <c r="B32" s="60"/>
      <c r="C32" s="60"/>
      <c r="D32" s="60"/>
      <c r="E32" s="60"/>
      <c r="F32" s="60"/>
    </row>
    <row r="33" spans="1:6" ht="14.25" x14ac:dyDescent="0.25">
      <c r="A33" s="137" t="s">
        <v>522</v>
      </c>
      <c r="B33" s="60"/>
      <c r="C33" s="60"/>
      <c r="D33" s="60"/>
      <c r="E33" s="60"/>
      <c r="F33" s="60"/>
    </row>
    <row r="34" spans="1:6" ht="14.25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ht="14.25" x14ac:dyDescent="0.25">
      <c r="A38" s="137" t="s">
        <v>526</v>
      </c>
      <c r="B38" s="147"/>
      <c r="C38" s="60"/>
      <c r="D38" s="60"/>
      <c r="E38" s="60"/>
      <c r="F38" s="60"/>
    </row>
    <row r="39" spans="1:6" ht="14.25" x14ac:dyDescent="0.25">
      <c r="A39" s="138"/>
      <c r="B39" s="54"/>
      <c r="C39" s="54"/>
      <c r="D39" s="54"/>
      <c r="E39" s="54"/>
      <c r="F39" s="54"/>
    </row>
    <row r="40" spans="1:6" ht="14.25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 t="s">
        <v>3303</v>
      </c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 t="str">
        <f>'Formato 8'!B66</f>
        <v>NO APLICA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A43" zoomScale="90" zoomScaleNormal="90" workbookViewId="0">
      <selection activeCell="E70" sqref="E70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97" t="s">
        <v>545</v>
      </c>
      <c r="B1" s="197"/>
      <c r="C1" s="197"/>
      <c r="D1" s="197"/>
      <c r="E1" s="197"/>
      <c r="F1" s="197"/>
    </row>
    <row r="2" spans="1:6" ht="14.25" x14ac:dyDescent="0.45">
      <c r="A2" s="185" t="str">
        <f>ENTE_PUBLICO_A</f>
        <v>ORGANISMO, Gobierno del Estado de Guanajuato (a)</v>
      </c>
      <c r="B2" s="186"/>
      <c r="C2" s="186"/>
      <c r="D2" s="186"/>
      <c r="E2" s="186"/>
      <c r="F2" s="187"/>
    </row>
    <row r="3" spans="1:6" x14ac:dyDescent="0.25">
      <c r="A3" s="188" t="s">
        <v>117</v>
      </c>
      <c r="B3" s="189"/>
      <c r="C3" s="189"/>
      <c r="D3" s="189"/>
      <c r="E3" s="189"/>
      <c r="F3" s="190"/>
    </row>
    <row r="4" spans="1:6" ht="14.25" x14ac:dyDescent="0.45">
      <c r="A4" s="191" t="str">
        <f>PERIODO_INFORME</f>
        <v>Al 31 de diciembre de 2018 y al 31 de diciembre de 2019 (b)</v>
      </c>
      <c r="B4" s="192"/>
      <c r="C4" s="192"/>
      <c r="D4" s="192"/>
      <c r="E4" s="192"/>
      <c r="F4" s="193"/>
    </row>
    <row r="5" spans="1:6" ht="14.25" x14ac:dyDescent="0.45">
      <c r="A5" s="194" t="s">
        <v>118</v>
      </c>
      <c r="B5" s="195"/>
      <c r="C5" s="195"/>
      <c r="D5" s="195"/>
      <c r="E5" s="195"/>
      <c r="F5" s="196"/>
    </row>
    <row r="6" spans="1:6" s="3" customFormat="1" ht="28.5" x14ac:dyDescent="0.45">
      <c r="A6" s="133" t="s">
        <v>3285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14749162.450000001</v>
      </c>
      <c r="C9" s="60">
        <f>SUM(C10:C16)</f>
        <v>5080910.8100000005</v>
      </c>
      <c r="D9" s="100" t="s">
        <v>54</v>
      </c>
      <c r="E9" s="60">
        <f>SUM(E10:E18)</f>
        <v>1350796.58</v>
      </c>
      <c r="F9" s="60">
        <f>SUM(F10:F18)</f>
        <v>926151.32</v>
      </c>
    </row>
    <row r="10" spans="1:6" x14ac:dyDescent="0.25">
      <c r="A10" s="96" t="s">
        <v>4</v>
      </c>
      <c r="B10" s="149">
        <v>0</v>
      </c>
      <c r="C10" s="150"/>
      <c r="D10" s="101" t="s">
        <v>55</v>
      </c>
      <c r="E10" s="178">
        <v>122474.62</v>
      </c>
      <c r="F10" s="149">
        <v>102119.22</v>
      </c>
    </row>
    <row r="11" spans="1:6" x14ac:dyDescent="0.25">
      <c r="A11" s="96" t="s">
        <v>5</v>
      </c>
      <c r="B11" s="150"/>
      <c r="C11" s="149">
        <v>4043519.14</v>
      </c>
      <c r="D11" s="101" t="s">
        <v>56</v>
      </c>
      <c r="E11" s="178">
        <v>246289.22</v>
      </c>
      <c r="F11" s="149">
        <v>47834.09</v>
      </c>
    </row>
    <row r="12" spans="1:6" x14ac:dyDescent="0.25">
      <c r="A12" s="96" t="s">
        <v>6</v>
      </c>
      <c r="B12" s="178">
        <v>1938563.73</v>
      </c>
      <c r="C12" s="150"/>
      <c r="D12" s="101" t="s">
        <v>57</v>
      </c>
      <c r="E12" s="150"/>
      <c r="F12" s="150"/>
    </row>
    <row r="13" spans="1:6" x14ac:dyDescent="0.25">
      <c r="A13" s="96" t="s">
        <v>7</v>
      </c>
      <c r="B13" s="178">
        <v>12810598.720000001</v>
      </c>
      <c r="C13" s="149">
        <v>1037391.67</v>
      </c>
      <c r="D13" s="101" t="s">
        <v>58</v>
      </c>
      <c r="E13" s="150"/>
      <c r="F13" s="150"/>
    </row>
    <row r="14" spans="1:6" x14ac:dyDescent="0.25">
      <c r="A14" s="96" t="s">
        <v>8</v>
      </c>
      <c r="B14" s="150"/>
      <c r="C14" s="150"/>
      <c r="D14" s="101" t="s">
        <v>59</v>
      </c>
      <c r="E14" s="178">
        <v>351857.43</v>
      </c>
      <c r="F14" s="149">
        <v>267852.03000000003</v>
      </c>
    </row>
    <row r="15" spans="1:6" x14ac:dyDescent="0.25">
      <c r="A15" s="96" t="s">
        <v>9</v>
      </c>
      <c r="B15" s="150"/>
      <c r="C15" s="150"/>
      <c r="D15" s="101" t="s">
        <v>60</v>
      </c>
      <c r="E15" s="150"/>
      <c r="F15" s="150"/>
    </row>
    <row r="16" spans="1:6" x14ac:dyDescent="0.25">
      <c r="A16" s="96" t="s">
        <v>10</v>
      </c>
      <c r="B16" s="60">
        <v>0</v>
      </c>
      <c r="C16" s="150"/>
      <c r="D16" s="101" t="s">
        <v>61</v>
      </c>
      <c r="E16" s="178">
        <v>479780.71</v>
      </c>
      <c r="F16" s="149">
        <v>362593.13</v>
      </c>
    </row>
    <row r="17" spans="1:6" x14ac:dyDescent="0.25">
      <c r="A17" s="95" t="s">
        <v>11</v>
      </c>
      <c r="B17" s="150">
        <f>SUM(B18:B24)</f>
        <v>654807.61999999988</v>
      </c>
      <c r="C17" s="60">
        <f>SUM(C18:C24)</f>
        <v>159286.43</v>
      </c>
      <c r="D17" s="101" t="s">
        <v>62</v>
      </c>
      <c r="E17" s="150"/>
      <c r="F17" s="150"/>
    </row>
    <row r="18" spans="1:6" x14ac:dyDescent="0.25">
      <c r="A18" s="97" t="s">
        <v>12</v>
      </c>
      <c r="B18" s="150"/>
      <c r="C18" s="150"/>
      <c r="D18" s="101" t="s">
        <v>63</v>
      </c>
      <c r="E18" s="178">
        <v>150394.6</v>
      </c>
      <c r="F18" s="149">
        <v>145752.85</v>
      </c>
    </row>
    <row r="19" spans="1:6" x14ac:dyDescent="0.25">
      <c r="A19" s="97" t="s">
        <v>13</v>
      </c>
      <c r="B19" s="178">
        <v>188.87</v>
      </c>
      <c r="C19" s="149">
        <v>159.87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78">
        <v>97594.43</v>
      </c>
      <c r="C20" s="149">
        <v>65239.39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149">
        <v>182</v>
      </c>
      <c r="C21" s="149">
        <v>182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178">
        <v>556842.31999999995</v>
      </c>
      <c r="C22" s="149">
        <v>10000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150"/>
      <c r="C23" s="15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9">
        <v>0</v>
      </c>
      <c r="C24" s="149">
        <v>83705.17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150">
        <f>SUM(B26:B30)</f>
        <v>173466.46000000002</v>
      </c>
      <c r="C25" s="60">
        <f>SUM(C26:C30)</f>
        <v>1968631.04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178">
        <v>167148.64000000001</v>
      </c>
      <c r="C26" s="149">
        <v>1962313.22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149">
        <v>0</v>
      </c>
      <c r="C27" s="149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49">
        <v>6317.82</v>
      </c>
      <c r="C28" s="149">
        <v>6317.82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150"/>
      <c r="C29" s="150"/>
      <c r="D29" s="101" t="s">
        <v>74</v>
      </c>
      <c r="E29" s="60">
        <v>0</v>
      </c>
      <c r="F29" s="60">
        <v>0</v>
      </c>
    </row>
    <row r="30" spans="1:6" ht="14.25" x14ac:dyDescent="0.25">
      <c r="A30" s="97" t="s">
        <v>24</v>
      </c>
      <c r="B30" s="150"/>
      <c r="C30" s="150"/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150">
        <f>SUM(B32:B36)</f>
        <v>150442.28</v>
      </c>
      <c r="C31" s="60">
        <f>SUM(C32:C36)</f>
        <v>150442.28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49">
        <v>150442.28</v>
      </c>
      <c r="C32" s="149">
        <v>150442.28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150"/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150"/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150"/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150"/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149">
        <v>323855.88</v>
      </c>
      <c r="C37" s="149">
        <v>323855.88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ht="14.25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51">
        <f>B9+B17+B25+B31+B38+B41+B37</f>
        <v>16051734.690000001</v>
      </c>
      <c r="C47" s="151">
        <f>C9+C17+C25+C31+C38+C41+C37</f>
        <v>7683126.4400000004</v>
      </c>
      <c r="D47" s="99" t="s">
        <v>91</v>
      </c>
      <c r="E47" s="61">
        <f>E9+E19+E23+E26+E27+E31+E38+E42</f>
        <v>1350796.58</v>
      </c>
      <c r="F47" s="61">
        <f>F9+F19+F23+F26+F27+F31+F38+F42</f>
        <v>926151.32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49">
        <v>0</v>
      </c>
      <c r="C50" s="149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149">
        <v>0</v>
      </c>
      <c r="C51" s="149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179">
        <v>26314908.719999999</v>
      </c>
      <c r="C52" s="149">
        <v>20472155.890000001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179">
        <v>11843320.529999999</v>
      </c>
      <c r="C53" s="149">
        <v>10525660.529999999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149">
        <v>9256.7999999999993</v>
      </c>
      <c r="C54" s="149">
        <v>9256.7999999999993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179">
        <v>-5047057.71</v>
      </c>
      <c r="C55" s="149">
        <v>-3414735.85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149">
        <v>0</v>
      </c>
      <c r="C56" s="149">
        <v>0</v>
      </c>
      <c r="D56" s="54"/>
      <c r="E56" s="54"/>
      <c r="F56" s="54"/>
    </row>
    <row r="57" spans="1:6" x14ac:dyDescent="0.25">
      <c r="A57" s="95" t="s">
        <v>48</v>
      </c>
      <c r="B57" s="149">
        <v>0</v>
      </c>
      <c r="C57" s="149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49">
        <v>0</v>
      </c>
      <c r="C58" s="14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1350796.58</v>
      </c>
      <c r="F59" s="61">
        <f>F47+F57</f>
        <v>926151.32</v>
      </c>
    </row>
    <row r="60" spans="1:6" x14ac:dyDescent="0.25">
      <c r="A60" s="55" t="s">
        <v>50</v>
      </c>
      <c r="B60" s="151">
        <f>SUM(B50:B58)</f>
        <v>33120428.339999996</v>
      </c>
      <c r="C60" s="61">
        <f>SUM(C50:C58)</f>
        <v>27592337.370000001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49172163.030000001</v>
      </c>
      <c r="C62" s="61">
        <f>SUM(C47+C60)</f>
        <v>35275463.810000002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5170746.6399999997</v>
      </c>
      <c r="F63" s="77">
        <f>SUM(F64:F66)</f>
        <v>3730366.92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149">
        <v>5170746.6399999997</v>
      </c>
      <c r="F65" s="149">
        <v>3730366.92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42650619.810000002</v>
      </c>
      <c r="F68" s="77">
        <f>SUM(F69:F73)</f>
        <v>30618945.57</v>
      </c>
    </row>
    <row r="69" spans="1:6" x14ac:dyDescent="0.25">
      <c r="A69" s="12"/>
      <c r="B69" s="54"/>
      <c r="C69" s="54"/>
      <c r="D69" s="103" t="s">
        <v>107</v>
      </c>
      <c r="E69" s="179">
        <v>12036336.359999999</v>
      </c>
      <c r="F69" s="149">
        <v>2708597.63</v>
      </c>
    </row>
    <row r="70" spans="1:6" x14ac:dyDescent="0.25">
      <c r="A70" s="12"/>
      <c r="B70" s="54"/>
      <c r="C70" s="54"/>
      <c r="D70" s="103" t="s">
        <v>108</v>
      </c>
      <c r="E70" s="149">
        <v>30614178.449999999</v>
      </c>
      <c r="F70" s="149">
        <v>27910242.940000001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149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149">
        <v>0</v>
      </c>
    </row>
    <row r="73" spans="1:6" ht="14.25" x14ac:dyDescent="0.25">
      <c r="A73" s="12"/>
      <c r="B73" s="54"/>
      <c r="C73" s="54"/>
      <c r="D73" s="103" t="s">
        <v>111</v>
      </c>
      <c r="E73" s="149">
        <v>105</v>
      </c>
      <c r="F73" s="149">
        <v>105</v>
      </c>
    </row>
    <row r="74" spans="1:6" ht="14.25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ht="14.25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ht="14.25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47821366.450000003</v>
      </c>
      <c r="F79" s="61">
        <f>F63+F68+F75</f>
        <v>34349312.490000002</v>
      </c>
    </row>
    <row r="80" spans="1:6" ht="14.25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49172163.030000001</v>
      </c>
      <c r="F81" s="61">
        <f>F59+F79</f>
        <v>35275463.810000002</v>
      </c>
    </row>
    <row r="82" spans="1:6" ht="14.25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14749162.450000001</v>
      </c>
      <c r="Q4" s="18">
        <f>'Formato 1'!C9</f>
        <v>5080910.8100000005</v>
      </c>
    </row>
    <row r="5" spans="1:17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4043519.14</v>
      </c>
    </row>
    <row r="7" spans="1:17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1938563.73</v>
      </c>
      <c r="Q7" s="18">
        <f>'Formato 1'!C12</f>
        <v>0</v>
      </c>
    </row>
    <row r="8" spans="1:17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12810598.720000001</v>
      </c>
      <c r="Q8" s="18">
        <f>'Formato 1'!C13</f>
        <v>1037391.67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654807.61999999988</v>
      </c>
      <c r="Q12" s="18">
        <f>'Formato 1'!C17</f>
        <v>159286.43</v>
      </c>
    </row>
    <row r="13" spans="1:17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188.87</v>
      </c>
      <c r="Q14" s="18">
        <f>'Formato 1'!C19</f>
        <v>159.87</v>
      </c>
    </row>
    <row r="15" spans="1:17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97594.43</v>
      </c>
      <c r="Q15" s="18">
        <f>'Formato 1'!C20</f>
        <v>65239.39</v>
      </c>
    </row>
    <row r="16" spans="1:17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182</v>
      </c>
      <c r="Q16" s="18">
        <f>'Formato 1'!C21</f>
        <v>182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556842.31999999995</v>
      </c>
      <c r="Q17" s="18">
        <f>'Formato 1'!C22</f>
        <v>10000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83705.17</v>
      </c>
    </row>
    <row r="20" spans="1:17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173466.46000000002</v>
      </c>
      <c r="Q20" s="18">
        <f>'Formato 1'!C25</f>
        <v>1968631.04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167148.64000000001</v>
      </c>
      <c r="Q21" s="18">
        <f>'Formato 1'!C26</f>
        <v>1962313.22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6317.82</v>
      </c>
      <c r="Q23" s="18">
        <f>'Formato 1'!C28</f>
        <v>6317.82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150442.28</v>
      </c>
      <c r="Q26" s="18">
        <f>'Formato 1'!C31</f>
        <v>150442.28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150442.28</v>
      </c>
      <c r="Q27" s="18">
        <f>'Formato 1'!C32</f>
        <v>150442.28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323855.88</v>
      </c>
      <c r="Q32" s="18">
        <f>'Formato 1'!C37</f>
        <v>323855.88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323855.88</v>
      </c>
      <c r="Q33" s="18">
        <f>'Formato 1'!C37</f>
        <v>323855.88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16051734.690000001</v>
      </c>
      <c r="Q42" s="18">
        <f>'Formato 1'!C47</f>
        <v>7683126.4400000004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26314908.719999999</v>
      </c>
      <c r="Q46">
        <f>'Formato 1'!C52</f>
        <v>20472155.890000001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11843320.529999999</v>
      </c>
      <c r="Q47">
        <f>'Formato 1'!C53</f>
        <v>10525660.529999999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9256.7999999999993</v>
      </c>
      <c r="Q48">
        <f>'Formato 1'!C54</f>
        <v>9256.7999999999993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-5047057.71</v>
      </c>
      <c r="Q49">
        <f>'Formato 1'!C55</f>
        <v>-3414735.85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33120428.339999996</v>
      </c>
      <c r="Q53">
        <f>'Formato 1'!C60</f>
        <v>27592337.370000001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49172163.030000001</v>
      </c>
      <c r="Q54">
        <f>'Formato 1'!C62</f>
        <v>35275463.810000002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1350796.58</v>
      </c>
      <c r="Q57">
        <f>'Formato 1'!F9</f>
        <v>926151.32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122474.62</v>
      </c>
      <c r="Q58">
        <f>'Formato 1'!F10</f>
        <v>102119.22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246289.22</v>
      </c>
      <c r="Q59">
        <f>'Formato 1'!F11</f>
        <v>47834.09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351857.43</v>
      </c>
      <c r="Q62">
        <f>'Formato 1'!F14</f>
        <v>267852.03000000003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479780.71</v>
      </c>
      <c r="Q64">
        <f>'Formato 1'!F16</f>
        <v>362593.13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150394.6</v>
      </c>
      <c r="Q66">
        <f>'Formato 1'!F18</f>
        <v>145752.85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1350796.58</v>
      </c>
      <c r="Q95">
        <f>'Formato 1'!F47</f>
        <v>926151.32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1350796.58</v>
      </c>
      <c r="Q104">
        <f>'Formato 1'!F59</f>
        <v>926151.32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5170746.6399999997</v>
      </c>
      <c r="Q106">
        <f>'Formato 1'!F63</f>
        <v>3730366.92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5170746.6399999997</v>
      </c>
      <c r="Q108">
        <f>'Formato 1'!F65</f>
        <v>3730366.92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42650619.810000002</v>
      </c>
      <c r="Q110">
        <f>'Formato 1'!F68</f>
        <v>30618945.57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12036336.359999999</v>
      </c>
      <c r="Q111">
        <f>'Formato 1'!F69</f>
        <v>2708597.63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30614178.449999999</v>
      </c>
      <c r="Q112">
        <f>'Formato 1'!F70</f>
        <v>27910242.940000001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105</v>
      </c>
      <c r="Q115">
        <f>'Formato 1'!F73</f>
        <v>105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47821366.450000003</v>
      </c>
      <c r="Q119">
        <f>'Formato 1'!F79</f>
        <v>34349312.490000002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49172163.030000001</v>
      </c>
      <c r="Q120">
        <f>'Formato 1'!F81</f>
        <v>35275463.810000002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A33" sqref="A33:H37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99" t="s">
        <v>544</v>
      </c>
      <c r="B1" s="199"/>
      <c r="C1" s="199"/>
      <c r="D1" s="199"/>
      <c r="E1" s="199"/>
      <c r="F1" s="199"/>
      <c r="G1" s="199"/>
      <c r="H1" s="199"/>
    </row>
    <row r="2" spans="1:9" ht="14.25" x14ac:dyDescent="0.45">
      <c r="A2" s="185" t="str">
        <f>ENTE_PUBLICO_A</f>
        <v>ORGANISMO, Gobierno del Estado de Guanajuato (a)</v>
      </c>
      <c r="B2" s="186"/>
      <c r="C2" s="186"/>
      <c r="D2" s="186"/>
      <c r="E2" s="186"/>
      <c r="F2" s="186"/>
      <c r="G2" s="186"/>
      <c r="H2" s="187"/>
    </row>
    <row r="3" spans="1:9" x14ac:dyDescent="0.25">
      <c r="A3" s="188" t="s">
        <v>120</v>
      </c>
      <c r="B3" s="189"/>
      <c r="C3" s="189"/>
      <c r="D3" s="189"/>
      <c r="E3" s="189"/>
      <c r="F3" s="189"/>
      <c r="G3" s="189"/>
      <c r="H3" s="190"/>
    </row>
    <row r="4" spans="1:9" ht="14.25" x14ac:dyDescent="0.45">
      <c r="A4" s="191" t="str">
        <f>PERIODO_INFORME</f>
        <v>Al 31 de diciembre de 2018 y al 31 de diciembre de 2019 (b)</v>
      </c>
      <c r="B4" s="192"/>
      <c r="C4" s="192"/>
      <c r="D4" s="192"/>
      <c r="E4" s="192"/>
      <c r="F4" s="192"/>
      <c r="G4" s="192"/>
      <c r="H4" s="193"/>
    </row>
    <row r="5" spans="1:9" ht="14.25" x14ac:dyDescent="0.45">
      <c r="A5" s="194" t="s">
        <v>118</v>
      </c>
      <c r="B5" s="195"/>
      <c r="C5" s="195"/>
      <c r="D5" s="195"/>
      <c r="E5" s="195"/>
      <c r="F5" s="195"/>
      <c r="G5" s="195"/>
      <c r="H5" s="196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3297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3298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14.25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45" customHeight="1" x14ac:dyDescent="0.25">
      <c r="A32" s="90"/>
    </row>
    <row r="33" spans="1:8" ht="12.2" customHeight="1" x14ac:dyDescent="0.25">
      <c r="A33" s="198" t="s">
        <v>3301</v>
      </c>
      <c r="B33" s="198"/>
      <c r="C33" s="198"/>
      <c r="D33" s="198"/>
      <c r="E33" s="198"/>
      <c r="F33" s="198"/>
      <c r="G33" s="198"/>
      <c r="H33" s="198"/>
    </row>
    <row r="34" spans="1:8" ht="12.2" customHeight="1" x14ac:dyDescent="0.25">
      <c r="A34" s="198"/>
      <c r="B34" s="198"/>
      <c r="C34" s="198"/>
      <c r="D34" s="198"/>
      <c r="E34" s="198"/>
      <c r="F34" s="198"/>
      <c r="G34" s="198"/>
      <c r="H34" s="198"/>
    </row>
    <row r="35" spans="1:8" ht="12.2" customHeight="1" x14ac:dyDescent="0.25">
      <c r="A35" s="198"/>
      <c r="B35" s="198"/>
      <c r="C35" s="198"/>
      <c r="D35" s="198"/>
      <c r="E35" s="198"/>
      <c r="F35" s="198"/>
      <c r="G35" s="198"/>
      <c r="H35" s="198"/>
    </row>
    <row r="36" spans="1:8" ht="12.2" customHeight="1" x14ac:dyDescent="0.25">
      <c r="A36" s="198"/>
      <c r="B36" s="198"/>
      <c r="C36" s="198"/>
      <c r="D36" s="198"/>
      <c r="E36" s="198"/>
      <c r="F36" s="198"/>
      <c r="G36" s="198"/>
      <c r="H36" s="198"/>
    </row>
    <row r="37" spans="1:8" ht="12.2" customHeight="1" x14ac:dyDescent="0.25">
      <c r="A37" s="198"/>
      <c r="B37" s="198"/>
      <c r="C37" s="198"/>
      <c r="D37" s="198"/>
      <c r="E37" s="198"/>
      <c r="F37" s="198"/>
      <c r="G37" s="198"/>
      <c r="H37" s="198"/>
    </row>
    <row r="38" spans="1:8" ht="14.25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45">
      <c r="A18" s="3"/>
    </row>
    <row r="19" spans="1:20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A16" sqref="A16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97" t="s">
        <v>543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11"/>
    </row>
    <row r="2" spans="1:12" ht="14.25" x14ac:dyDescent="0.45">
      <c r="A2" s="185" t="str">
        <f>ENTE_PUBLICO_A</f>
        <v>ORGANISMO, Gobierno del Estado de Guanajuato (a)</v>
      </c>
      <c r="B2" s="186"/>
      <c r="C2" s="186"/>
      <c r="D2" s="186"/>
      <c r="E2" s="186"/>
      <c r="F2" s="186"/>
      <c r="G2" s="186"/>
      <c r="H2" s="186"/>
      <c r="I2" s="186"/>
      <c r="J2" s="186"/>
      <c r="K2" s="187"/>
    </row>
    <row r="3" spans="1:12" x14ac:dyDescent="0.25">
      <c r="A3" s="188" t="s">
        <v>146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2" ht="14.25" x14ac:dyDescent="0.45">
      <c r="A4" s="191" t="str">
        <f>TRIMESTRE</f>
        <v>Del 1 de enero al 31 de diciembre de 2019 (b)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2" ht="14.25" x14ac:dyDescent="0.45">
      <c r="A5" s="188" t="s">
        <v>118</v>
      </c>
      <c r="B5" s="189"/>
      <c r="C5" s="189"/>
      <c r="D5" s="189"/>
      <c r="E5" s="189"/>
      <c r="F5" s="189"/>
      <c r="G5" s="189"/>
      <c r="H5" s="189"/>
      <c r="I5" s="189"/>
      <c r="J5" s="189"/>
      <c r="K5" s="190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2019 (k)</v>
      </c>
      <c r="J6" s="131" t="str">
        <f>MONTO2</f>
        <v>Monto pagado de la inversión actualizado al 31 de diciembre de 2019 (l)</v>
      </c>
      <c r="K6" s="131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Chayito</cp:lastModifiedBy>
  <cp:lastPrinted>2017-02-04T00:56:20Z</cp:lastPrinted>
  <dcterms:created xsi:type="dcterms:W3CDTF">2017-01-19T17:59:06Z</dcterms:created>
  <dcterms:modified xsi:type="dcterms:W3CDTF">2022-11-22T14:43:09Z</dcterms:modified>
</cp:coreProperties>
</file>